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450" activeTab="2"/>
  </bookViews>
  <sheets>
    <sheet name="planilha tapa burado 2024" sheetId="2" r:id="rId1"/>
    <sheet name="BDI" sheetId="4" r:id="rId2"/>
    <sheet name="cronograma FF" sheetId="3" r:id="rId3"/>
  </sheets>
  <externalReferences>
    <externalReference r:id="rId4"/>
  </externalReferences>
  <definedNames>
    <definedName name="_xlnm.Print_Area" localSheetId="1">BDI!$A$1:$Q$39</definedName>
    <definedName name="_xlnm.Print_Area" localSheetId="2">'cronograma FF'!$A$1:$Q$13</definedName>
    <definedName name="_xlnm.Print_Area" localSheetId="0">'planilha tapa burado 2024'!$A$1:$H$18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3" l="1"/>
  <c r="Q7" i="3"/>
  <c r="B6" i="3" l="1"/>
  <c r="E11" i="2" l="1"/>
  <c r="C9" i="4"/>
  <c r="A15" i="4"/>
  <c r="C15" i="4" s="1"/>
  <c r="N24" i="4"/>
  <c r="J38" i="4"/>
  <c r="J37" i="4"/>
  <c r="J36" i="4"/>
  <c r="A34" i="4"/>
  <c r="C34" i="4" s="1"/>
  <c r="I33" i="4"/>
  <c r="K30" i="4"/>
  <c r="A28" i="4"/>
  <c r="C28" i="4" s="1"/>
  <c r="C27" i="4"/>
  <c r="M22" i="4"/>
  <c r="I22" i="4"/>
  <c r="A22" i="4"/>
  <c r="A23" i="4" s="1"/>
  <c r="M21" i="4"/>
  <c r="I21" i="4"/>
  <c r="C21" i="4"/>
  <c r="M20" i="4"/>
  <c r="I20" i="4"/>
  <c r="M19" i="4"/>
  <c r="I19" i="4"/>
  <c r="M18" i="4"/>
  <c r="I18" i="4"/>
  <c r="A17" i="4"/>
  <c r="C14" i="4"/>
  <c r="C13" i="4"/>
  <c r="C12" i="4"/>
  <c r="P11" i="4"/>
  <c r="N25" i="4" s="1"/>
  <c r="C11" i="4"/>
  <c r="C10" i="4"/>
  <c r="C8" i="4"/>
  <c r="A3" i="4"/>
  <c r="C3" i="4" s="1"/>
  <c r="N2" i="4"/>
  <c r="C2" i="4"/>
  <c r="N26" i="4" l="1"/>
  <c r="N27" i="4"/>
  <c r="E12" i="2"/>
  <c r="A29" i="4"/>
  <c r="A32" i="4" s="1"/>
  <c r="O18" i="4"/>
  <c r="O19" i="4"/>
  <c r="P19" i="4"/>
  <c r="Q19" i="4"/>
  <c r="Q18" i="4"/>
  <c r="P18" i="4"/>
  <c r="C22" i="4"/>
  <c r="A4" i="4"/>
  <c r="A5" i="4" s="1"/>
  <c r="A24" i="4"/>
  <c r="C23" i="4"/>
  <c r="A18" i="4"/>
  <c r="C17" i="4"/>
  <c r="C32" i="4"/>
  <c r="A33" i="4"/>
  <c r="C33" i="4" s="1"/>
  <c r="J30" i="4"/>
  <c r="L31" i="4"/>
  <c r="C29" i="4" l="1"/>
  <c r="E13" i="2"/>
  <c r="H7" i="2"/>
  <c r="C5" i="4"/>
  <c r="A6" i="4"/>
  <c r="C6" i="4" s="1"/>
  <c r="C4" i="4"/>
  <c r="C18" i="4"/>
  <c r="A19" i="4"/>
  <c r="A25" i="4"/>
  <c r="C24" i="4"/>
  <c r="G13" i="2" l="1"/>
  <c r="H13" i="2" s="1"/>
  <c r="G12" i="2"/>
  <c r="H12" i="2" s="1"/>
  <c r="G11" i="2"/>
  <c r="H11" i="2" s="1"/>
  <c r="G10" i="2"/>
  <c r="H10" i="2" s="1"/>
  <c r="A7" i="4"/>
  <c r="C7" i="4" s="1"/>
  <c r="P21" i="4"/>
  <c r="O20" i="4"/>
  <c r="O21" i="4"/>
  <c r="Q20" i="4"/>
  <c r="P20" i="4"/>
  <c r="Q21" i="4"/>
  <c r="C19" i="4"/>
  <c r="O22" i="4" s="1"/>
  <c r="A20" i="4"/>
  <c r="C20" i="4" s="1"/>
  <c r="A26" i="4"/>
  <c r="C26" i="4" s="1"/>
  <c r="C25" i="4"/>
  <c r="H14" i="2" l="1"/>
  <c r="D7" i="3" s="1"/>
  <c r="H7" i="3" s="1"/>
  <c r="P22" i="4"/>
  <c r="O26" i="4"/>
  <c r="P26" i="4"/>
  <c r="Q22" i="4"/>
  <c r="Q26" i="4"/>
  <c r="G7" i="3" l="1"/>
  <c r="I7" i="3"/>
  <c r="N7" i="3"/>
  <c r="P7" i="3"/>
  <c r="L7" i="3"/>
  <c r="M7" i="3"/>
  <c r="O7" i="3"/>
  <c r="J7" i="3"/>
  <c r="F7" i="3"/>
  <c r="K7" i="3"/>
  <c r="Q6" i="3"/>
</calcChain>
</file>

<file path=xl/sharedStrings.xml><?xml version="1.0" encoding="utf-8"?>
<sst xmlns="http://schemas.openxmlformats.org/spreadsheetml/2006/main" count="153" uniqueCount="110">
  <si>
    <t>PLANILHA ORÇAMENTÁRIA DE CUSTOS</t>
  </si>
  <si>
    <t xml:space="preserve">FORMA DE EXECUÇÃO: </t>
  </si>
  <si>
    <t>(    )</t>
  </si>
  <si>
    <t>DIRETA</t>
  </si>
  <si>
    <t>(  x  )</t>
  </si>
  <si>
    <t>INDIRETA</t>
  </si>
  <si>
    <t>ITEM</t>
  </si>
  <si>
    <t>CÓDIGO</t>
  </si>
  <si>
    <t>DESCRIÇÃO</t>
  </si>
  <si>
    <t>UNID.</t>
  </si>
  <si>
    <t>QUANT.</t>
  </si>
  <si>
    <t>PREÇO UNITÁRIO S/ LDI</t>
  </si>
  <si>
    <t>PREÇO UNITÁRIO C/ LDI</t>
  </si>
  <si>
    <t>PREÇO TOTAL</t>
  </si>
  <si>
    <t>Obras Viárias</t>
  </si>
  <si>
    <t>1.1</t>
  </si>
  <si>
    <t>1.2</t>
  </si>
  <si>
    <t>1.3</t>
  </si>
  <si>
    <t>1.4</t>
  </si>
  <si>
    <t>TOTAL GERAL DA OBRA</t>
  </si>
  <si>
    <t>Flávio L. Greco S.</t>
  </si>
  <si>
    <t>Engenheiro Civil</t>
  </si>
  <si>
    <t>CREA-MG 64.880/D</t>
  </si>
  <si>
    <t>BDI</t>
  </si>
  <si>
    <t>PRAZO DE EXECUÇÃO: 12 meses</t>
  </si>
  <si>
    <t>FÍSICO/ FINANCEIRO</t>
  </si>
  <si>
    <t>TOTAL  ETAPAS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</si>
  <si>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</si>
  <si>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</si>
  <si>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</si>
  <si>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</si>
  <si>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</si>
  <si>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</si>
  <si>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</si>
  <si>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</si>
  <si>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</si>
  <si>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</si>
  <si>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</si>
  <si>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</si>
  <si>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FINAL</t>
  </si>
  <si>
    <t>Físico %</t>
  </si>
  <si>
    <t>Financeiro</t>
  </si>
  <si>
    <t xml:space="preserve">CRONOGRAMA FÍSICO-FINANCEIRO </t>
  </si>
  <si>
    <t>MIN</t>
  </si>
  <si>
    <t>MED</t>
  </si>
  <si>
    <t>MAX</t>
  </si>
  <si>
    <t>Grau de Sigilo</t>
  </si>
  <si>
    <t>Construção e Reforma de Edifícios</t>
  </si>
  <si>
    <t>AC</t>
  </si>
  <si>
    <t>#PUBLICO</t>
  </si>
  <si>
    <t>SG</t>
  </si>
  <si>
    <t>R</t>
  </si>
  <si>
    <t>Nº TC/CR</t>
  </si>
  <si>
    <t>PROPONENTE / TOMADOR</t>
  </si>
  <si>
    <t>DF</t>
  </si>
  <si>
    <t>L</t>
  </si>
  <si>
    <t>BDI PAD</t>
  </si>
  <si>
    <t>OBJETO</t>
  </si>
  <si>
    <t>Construção de Praças Urbanas, Rodovias, Ferrovias e recapeamento e pavimentação de vias urbanas</t>
  </si>
  <si>
    <t>TIPO DE OBRA DO EMPREENDIMENTO</t>
  </si>
  <si>
    <t>DESONERAÇÃO</t>
  </si>
  <si>
    <t>Conforme legislação tributária municipal, definir estimativa de percentual da base de cálculo para o ISS:</t>
  </si>
  <si>
    <t>Construção de Redes de Abastecimento de Água, Coleta de Esgoto</t>
  </si>
  <si>
    <t>Sobre a base de cálculo, definir a respectiva alíquota do ISS (entre 2% e 5%):</t>
  </si>
  <si>
    <t>Itens</t>
  </si>
  <si>
    <t>Siglas</t>
  </si>
  <si>
    <t>% Adotado</t>
  </si>
  <si>
    <t>Intervalo de admissibilidade</t>
  </si>
  <si>
    <t>1º Quartil</t>
  </si>
  <si>
    <t>Médio</t>
  </si>
  <si>
    <t>3º Quartil</t>
  </si>
  <si>
    <t>Construção e Manutenção de Estações e Redes de Distribuição de Energia Elétrica</t>
  </si>
  <si>
    <t>Tributos (impostos COFINS 3%, e  PIS 0,65%)</t>
  </si>
  <si>
    <t>CP</t>
  </si>
  <si>
    <t>Tributos (ISS, variável de acordo com o município)</t>
  </si>
  <si>
    <t>ISS</t>
  </si>
  <si>
    <t>Tributos (Contribuição Previdenciária - 0% ou 4,5%, conforme Lei 12.844/2013 - Desoneração)</t>
  </si>
  <si>
    <t>CPRB</t>
  </si>
  <si>
    <t>BDI SEM desoneração
(Fórmula Acórdão TCU)</t>
  </si>
  <si>
    <t>Obras Portuárias, Marítimas e Fluviais</t>
  </si>
  <si>
    <t>BDI COM desoneração</t>
  </si>
  <si>
    <t>BDI DES</t>
  </si>
  <si>
    <t>Os valores de BDI foram calculados com o emprego da fórmula:</t>
  </si>
  <si>
    <t xml:space="preserve"> - 1</t>
  </si>
  <si>
    <t>K2</t>
  </si>
  <si>
    <t>-</t>
  </si>
  <si>
    <t>Nome:</t>
  </si>
  <si>
    <t>Título:</t>
  </si>
  <si>
    <t>CREA</t>
  </si>
  <si>
    <t>Fornecimento de Materiais e Equipamentos</t>
  </si>
  <si>
    <t>Estudos e Projetos, Planos e Gerenciamento e outros correlatos</t>
  </si>
  <si>
    <t xml:space="preserve">MUNICÍPIO DE LEANDRO FERREIRA </t>
  </si>
  <si>
    <t>OBRA: Tapa buraco para a recuperação de vias publicas no Municipio de Leandro Ferreira com aplicação de concreto betuminoso a quente</t>
  </si>
  <si>
    <t>OBRA: Tapa buraco para a recuperação de vias publicas no Municipio de Leandro Ferreira com aplicação de concreto betuminoso a quente.</t>
  </si>
  <si>
    <t xml:space="preserve">LOCAL:  Área Urbana do Município de  Leandro Ferreira </t>
  </si>
  <si>
    <t>MUNICÍPIO DE LEANDRO FERREIRA</t>
  </si>
  <si>
    <t>COM DESONERAÇÃO</t>
  </si>
  <si>
    <t>Tapa buraco para a recuperação de vias publicas no Municipio de Leandro Ferreira com aplicação de concreto betuminoso a quente.</t>
  </si>
  <si>
    <t>ED-48492</t>
  </si>
  <si>
    <t>DEMOLIÇÃO MECANIZADA DE REVESTIMENTO ASFÁLTICO, COM EQUIPAMENTO PNEUMÁTICO, INCLUSIVE AFASTAMENTO E EMPILHAMENTO, EXCLUSIVE TRANSPORTE E RETIRADA DO MATERIAL DEMOLIDO</t>
  </si>
  <si>
    <t>M²</t>
  </si>
  <si>
    <t>COTAÇÃO</t>
  </si>
  <si>
    <t>PINTURA DE LIGAÇÃO COM LIGANTE ASFÁLTICO (RR-2C) - INCLUSIVE EXECUÇÃO E FORNECIMENTO DO MATERIAL BETUMINOSO, EXCLUSIVE TRANSPORTE DO MATERIAL</t>
  </si>
  <si>
    <t>95995</t>
  </si>
  <si>
    <t>EXECUÇÃO DE PAVIMENTO COM APLICAÇÃO DE CONCRETO ASFÁLTICO, CAMADA DE ROLAMENTO - EXCLUSIVE CARGA E TRANSPORTE. AF_11/2019</t>
  </si>
  <si>
    <t>M³</t>
  </si>
  <si>
    <t>ED-29235</t>
  </si>
  <si>
    <t>TRANSPORTE DE MATERIAL DE QUALQUER NATUREZA EM CAMINHÃO, DISTÂNCIA MAIORES QUE 30KM, DENTRO DO PERÍMETRO URBANO, EXCLUSIVE CARGA, INCLUSIVE DESCARGA</t>
  </si>
  <si>
    <t>M³xKM</t>
  </si>
  <si>
    <t>REFERÊNCIA: SETOP ABRIL/2024, REG. CENTRAL - SEM DESONERAÇÃO; SINAPI-MG 07/2024 - SEM DESONERAÇÃO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</si>
</sst>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[Red]\-#,##0.00\ "/>
    <numFmt numFmtId="165" formatCode="_(&quot;R$ &quot;* #,##0.00_);_(&quot;R$ &quot;* \(#,##0.00\);_(&quot;R$ 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26"/>
      <name val="Arial"/>
      <family val="2"/>
    </font>
    <font>
      <b/>
      <sz val="24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sz val="11"/>
      <color indexed="9"/>
      <name val="Arial"/>
      <family val="2"/>
    </font>
    <font>
      <b/>
      <sz val="11"/>
      <color indexed="12"/>
      <name val="Arial"/>
      <family val="2"/>
    </font>
    <font>
      <i/>
      <sz val="12"/>
      <name val="Calibri"/>
      <family val="2"/>
    </font>
    <font>
      <i/>
      <u/>
      <sz val="12"/>
      <name val="Calibri"/>
      <family val="2"/>
    </font>
    <font>
      <u/>
      <sz val="10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165" fontId="2" fillId="0" borderId="0" applyFont="0" applyFill="0" applyBorder="0" applyAlignment="0" applyProtection="0"/>
    <xf numFmtId="0" fontId="2" fillId="0" borderId="0"/>
  </cellStyleXfs>
  <cellXfs count="221">
    <xf numFmtId="0" fontId="0" fillId="0" borderId="0" xfId="0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6" fillId="0" borderId="6" xfId="3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43" fontId="6" fillId="0" borderId="10" xfId="3" applyFont="1" applyBorder="1" applyAlignment="1">
      <alignment horizontal="center" vertical="center" wrapText="1"/>
    </xf>
    <xf numFmtId="43" fontId="6" fillId="0" borderId="6" xfId="3" applyFont="1" applyBorder="1" applyAlignment="1">
      <alignment horizontal="center" vertical="center" wrapText="1"/>
    </xf>
    <xf numFmtId="10" fontId="3" fillId="0" borderId="30" xfId="1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43" fontId="7" fillId="0" borderId="34" xfId="3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0" fillId="0" borderId="14" xfId="0" applyBorder="1"/>
    <xf numFmtId="0" fontId="5" fillId="0" borderId="12" xfId="0" applyFont="1" applyBorder="1"/>
    <xf numFmtId="0" fontId="0" fillId="0" borderId="12" xfId="0" applyBorder="1"/>
    <xf numFmtId="0" fontId="5" fillId="0" borderId="12" xfId="0" applyFont="1" applyBorder="1" applyAlignment="1">
      <alignment horizontal="left"/>
    </xf>
    <xf numFmtId="0" fontId="0" fillId="0" borderId="20" xfId="0" applyBorder="1"/>
    <xf numFmtId="43" fontId="0" fillId="0" borderId="0" xfId="0" applyNumberFormat="1"/>
    <xf numFmtId="0" fontId="6" fillId="4" borderId="21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36" xfId="0" applyFont="1" applyFill="1" applyBorder="1" applyAlignment="1">
      <alignment vertical="center"/>
    </xf>
    <xf numFmtId="0" fontId="7" fillId="4" borderId="37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38" xfId="0" applyFont="1" applyFill="1" applyBorder="1" applyAlignment="1">
      <alignment vertical="center"/>
    </xf>
    <xf numFmtId="0" fontId="7" fillId="4" borderId="39" xfId="0" applyFont="1" applyFill="1" applyBorder="1" applyAlignment="1">
      <alignment vertical="center"/>
    </xf>
    <xf numFmtId="0" fontId="7" fillId="4" borderId="30" xfId="0" applyFont="1" applyFill="1" applyBorder="1" applyAlignment="1">
      <alignment horizontal="left" vertical="center"/>
    </xf>
    <xf numFmtId="0" fontId="7" fillId="2" borderId="4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5" fillId="4" borderId="42" xfId="0" applyNumberFormat="1" applyFont="1" applyFill="1" applyBorder="1" applyAlignment="1">
      <alignment horizontal="center" vertical="center" wrapText="1"/>
    </xf>
    <xf numFmtId="10" fontId="4" fillId="4" borderId="42" xfId="0" applyNumberFormat="1" applyFont="1" applyFill="1" applyBorder="1" applyAlignment="1">
      <alignment vertical="center" wrapText="1"/>
    </xf>
    <xf numFmtId="10" fontId="4" fillId="4" borderId="43" xfId="0" applyNumberFormat="1" applyFont="1" applyFill="1" applyBorder="1" applyAlignment="1">
      <alignment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justify" vertical="top" wrapText="1"/>
    </xf>
    <xf numFmtId="49" fontId="5" fillId="4" borderId="11" xfId="0" applyNumberFormat="1" applyFont="1" applyFill="1" applyBorder="1" applyAlignment="1">
      <alignment horizontal="center" vertical="center" wrapText="1"/>
    </xf>
    <xf numFmtId="43" fontId="5" fillId="4" borderId="11" xfId="4" applyFont="1" applyFill="1" applyBorder="1" applyAlignment="1">
      <alignment vertical="center" wrapText="1"/>
    </xf>
    <xf numFmtId="164" fontId="5" fillId="4" borderId="11" xfId="4" applyNumberFormat="1" applyFont="1" applyFill="1" applyBorder="1" applyAlignment="1">
      <alignment vertical="center" wrapText="1"/>
    </xf>
    <xf numFmtId="43" fontId="5" fillId="4" borderId="19" xfId="4" applyFont="1" applyFill="1" applyBorder="1" applyAlignment="1">
      <alignment vertical="center" wrapText="1"/>
    </xf>
    <xf numFmtId="0" fontId="7" fillId="0" borderId="35" xfId="0" applyFont="1" applyBorder="1" applyAlignment="1">
      <alignment horizontal="right"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/>
    </xf>
    <xf numFmtId="0" fontId="6" fillId="4" borderId="20" xfId="0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4" borderId="14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7" fillId="4" borderId="18" xfId="0" applyFont="1" applyFill="1" applyBorder="1" applyAlignment="1">
      <alignment vertical="center"/>
    </xf>
    <xf numFmtId="0" fontId="7" fillId="4" borderId="20" xfId="0" applyFont="1" applyFill="1" applyBorder="1" applyAlignment="1">
      <alignment horizontal="left" vertical="center"/>
    </xf>
    <xf numFmtId="17" fontId="7" fillId="4" borderId="12" xfId="0" applyNumberFormat="1" applyFont="1" applyFill="1" applyBorder="1" applyAlignment="1">
      <alignment vertical="center"/>
    </xf>
    <xf numFmtId="0" fontId="2" fillId="0" borderId="0" xfId="5"/>
    <xf numFmtId="0" fontId="3" fillId="0" borderId="0" xfId="5" applyFont="1" applyAlignment="1">
      <alignment horizontal="center"/>
    </xf>
    <xf numFmtId="0" fontId="3" fillId="0" borderId="6" xfId="5" applyFont="1" applyBorder="1" applyAlignment="1">
      <alignment horizontal="center"/>
    </xf>
    <xf numFmtId="10" fontId="13" fillId="0" borderId="6" xfId="5" applyNumberFormat="1" applyFont="1" applyBorder="1" applyAlignment="1">
      <alignment horizontal="center"/>
    </xf>
    <xf numFmtId="0" fontId="3" fillId="0" borderId="6" xfId="5" applyFont="1" applyBorder="1" applyAlignment="1">
      <alignment horizontal="center" vertical="center" wrapText="1"/>
    </xf>
    <xf numFmtId="0" fontId="6" fillId="0" borderId="6" xfId="5" applyFont="1" applyBorder="1" applyAlignment="1">
      <alignment horizontal="center" vertical="center"/>
    </xf>
    <xf numFmtId="10" fontId="6" fillId="5" borderId="6" xfId="5" applyNumberFormat="1" applyFont="1" applyFill="1" applyBorder="1" applyAlignment="1" applyProtection="1">
      <alignment horizontal="center" vertical="center"/>
      <protection locked="0"/>
    </xf>
    <xf numFmtId="10" fontId="6" fillId="0" borderId="6" xfId="5" applyNumberFormat="1" applyFont="1" applyBorder="1" applyAlignment="1">
      <alignment horizontal="center" vertical="center"/>
    </xf>
    <xf numFmtId="10" fontId="6" fillId="0" borderId="6" xfId="5" applyNumberFormat="1" applyFont="1" applyBorder="1" applyAlignment="1">
      <alignment horizontal="center" vertical="center" wrapText="1"/>
    </xf>
    <xf numFmtId="0" fontId="6" fillId="0" borderId="0" xfId="5" applyFont="1"/>
    <xf numFmtId="0" fontId="6" fillId="0" borderId="0" xfId="5" applyFont="1" applyAlignment="1">
      <alignment vertical="top"/>
    </xf>
    <xf numFmtId="0" fontId="2" fillId="0" borderId="35" xfId="5" applyBorder="1"/>
    <xf numFmtId="0" fontId="2" fillId="0" borderId="36" xfId="5" applyBorder="1"/>
    <xf numFmtId="0" fontId="2" fillId="0" borderId="29" xfId="5" applyBorder="1"/>
    <xf numFmtId="0" fontId="2" fillId="0" borderId="11" xfId="5" applyBorder="1"/>
    <xf numFmtId="0" fontId="2" fillId="0" borderId="11" xfId="5" applyBorder="1" applyAlignment="1">
      <alignment horizontal="center"/>
    </xf>
    <xf numFmtId="0" fontId="14" fillId="0" borderId="0" xfId="5" applyFont="1" applyAlignment="1">
      <alignment horizontal="center"/>
    </xf>
    <xf numFmtId="0" fontId="3" fillId="0" borderId="35" xfId="5" applyFont="1" applyBorder="1"/>
    <xf numFmtId="0" fontId="3" fillId="0" borderId="0" xfId="5" applyFont="1"/>
    <xf numFmtId="0" fontId="3" fillId="0" borderId="36" xfId="5" applyFont="1" applyBorder="1"/>
    <xf numFmtId="0" fontId="3" fillId="0" borderId="10" xfId="5" applyFont="1" applyBorder="1" applyAlignment="1">
      <alignment horizontal="center" vertical="center"/>
    </xf>
    <xf numFmtId="10" fontId="6" fillId="0" borderId="10" xfId="5" applyNumberFormat="1" applyFont="1" applyBorder="1" applyAlignment="1">
      <alignment horizontal="center" vertical="center"/>
    </xf>
    <xf numFmtId="10" fontId="6" fillId="0" borderId="10" xfId="5" applyNumberFormat="1" applyFont="1" applyBorder="1" applyAlignment="1">
      <alignment horizontal="center" vertical="center" wrapText="1"/>
    </xf>
    <xf numFmtId="0" fontId="15" fillId="0" borderId="0" xfId="5" applyFont="1" applyAlignment="1">
      <alignment horizontal="center" vertical="center" wrapText="1"/>
    </xf>
    <xf numFmtId="10" fontId="15" fillId="0" borderId="0" xfId="5" applyNumberFormat="1" applyFont="1" applyAlignment="1">
      <alignment horizontal="center" vertical="center"/>
    </xf>
    <xf numFmtId="0" fontId="17" fillId="0" borderId="0" xfId="0" applyFont="1" applyAlignment="1">
      <alignment vertical="top"/>
    </xf>
    <xf numFmtId="0" fontId="19" fillId="0" borderId="35" xfId="5" applyFont="1" applyBorder="1" applyAlignment="1">
      <alignment horizontal="center" vertical="top"/>
    </xf>
    <xf numFmtId="0" fontId="19" fillId="0" borderId="0" xfId="5" applyFont="1" applyAlignment="1">
      <alignment horizontal="center" vertical="top"/>
    </xf>
    <xf numFmtId="0" fontId="19" fillId="0" borderId="36" xfId="5" applyFont="1" applyBorder="1" applyAlignment="1">
      <alignment horizontal="center" vertical="top"/>
    </xf>
    <xf numFmtId="0" fontId="6" fillId="3" borderId="0" xfId="5" applyFont="1" applyFill="1"/>
    <xf numFmtId="0" fontId="6" fillId="3" borderId="36" xfId="5" applyFont="1" applyFill="1" applyBorder="1"/>
    <xf numFmtId="0" fontId="2" fillId="0" borderId="14" xfId="5" applyBorder="1"/>
    <xf numFmtId="0" fontId="2" fillId="0" borderId="12" xfId="5" applyBorder="1"/>
    <xf numFmtId="0" fontId="2" fillId="0" borderId="20" xfId="5" applyBorder="1"/>
    <xf numFmtId="0" fontId="7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0" fontId="0" fillId="0" borderId="0" xfId="0" applyNumberFormat="1"/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9" fontId="5" fillId="4" borderId="58" xfId="0" applyNumberFormat="1" applyFont="1" applyFill="1" applyBorder="1" applyAlignment="1">
      <alignment horizontal="center" vertical="center" wrapText="1"/>
    </xf>
    <xf numFmtId="43" fontId="5" fillId="4" borderId="58" xfId="4" applyFont="1" applyFill="1" applyBorder="1" applyAlignment="1">
      <alignment vertical="center" wrapText="1"/>
    </xf>
    <xf numFmtId="43" fontId="5" fillId="4" borderId="59" xfId="4" applyFont="1" applyFill="1" applyBorder="1" applyAlignment="1">
      <alignment vertical="center" wrapText="1"/>
    </xf>
    <xf numFmtId="0" fontId="3" fillId="0" borderId="35" xfId="6" applyFont="1" applyBorder="1" applyAlignment="1">
      <alignment horizontal="left" vertical="top"/>
    </xf>
    <xf numFmtId="0" fontId="7" fillId="0" borderId="6" xfId="5" applyFont="1" applyBorder="1" applyAlignment="1">
      <alignment horizontal="center" vertical="center"/>
    </xf>
    <xf numFmtId="0" fontId="2" fillId="0" borderId="35" xfId="5" applyBorder="1" applyAlignment="1">
      <alignment horizontal="center" vertical="top"/>
    </xf>
    <xf numFmtId="0" fontId="2" fillId="0" borderId="0" xfId="5" applyAlignment="1">
      <alignment horizontal="center" vertical="top"/>
    </xf>
    <xf numFmtId="0" fontId="2" fillId="0" borderId="36" xfId="5" applyBorder="1" applyAlignment="1">
      <alignment horizontal="center" vertical="top"/>
    </xf>
    <xf numFmtId="0" fontId="6" fillId="0" borderId="6" xfId="5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top" wrapText="1"/>
    </xf>
    <xf numFmtId="4" fontId="2" fillId="3" borderId="6" xfId="4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justify" vertical="top" wrapText="1"/>
    </xf>
    <xf numFmtId="0" fontId="3" fillId="0" borderId="24" xfId="0" applyFont="1" applyBorder="1" applyAlignment="1">
      <alignment horizontal="justify" vertical="top" wrapText="1"/>
    </xf>
    <xf numFmtId="0" fontId="3" fillId="0" borderId="25" xfId="0" applyFont="1" applyBorder="1" applyAlignment="1">
      <alignment horizontal="justify" vertical="top" wrapText="1"/>
    </xf>
    <xf numFmtId="14" fontId="3" fillId="0" borderId="26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justify" vertical="top" wrapText="1"/>
    </xf>
    <xf numFmtId="0" fontId="3" fillId="0" borderId="1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0" borderId="5" xfId="5" applyFont="1" applyBorder="1" applyAlignment="1">
      <alignment horizontal="left" vertical="top" wrapText="1"/>
    </xf>
    <xf numFmtId="0" fontId="5" fillId="0" borderId="6" xfId="5" applyFont="1" applyBorder="1" applyAlignment="1">
      <alignment horizontal="left" vertical="top" wrapText="1"/>
    </xf>
    <xf numFmtId="10" fontId="5" fillId="5" borderId="6" xfId="5" applyNumberFormat="1" applyFont="1" applyFill="1" applyBorder="1" applyAlignment="1" applyProtection="1">
      <alignment horizontal="center" vertical="center"/>
      <protection locked="0"/>
    </xf>
    <xf numFmtId="10" fontId="5" fillId="5" borderId="10" xfId="5" applyNumberFormat="1" applyFont="1" applyFill="1" applyBorder="1" applyAlignment="1" applyProtection="1">
      <alignment horizontal="center" vertical="center"/>
      <protection locked="0"/>
    </xf>
    <xf numFmtId="0" fontId="2" fillId="0" borderId="55" xfId="5" applyBorder="1" applyAlignment="1">
      <alignment horizontal="center"/>
    </xf>
    <xf numFmtId="0" fontId="2" fillId="0" borderId="19" xfId="5" applyBorder="1" applyAlignment="1">
      <alignment horizontal="center"/>
    </xf>
    <xf numFmtId="0" fontId="3" fillId="0" borderId="46" xfId="5" applyFont="1" applyBorder="1" applyAlignment="1">
      <alignment horizontal="center"/>
    </xf>
    <xf numFmtId="0" fontId="3" fillId="0" borderId="54" xfId="5" applyFont="1" applyBorder="1" applyAlignment="1">
      <alignment horizontal="center"/>
    </xf>
    <xf numFmtId="0" fontId="3" fillId="0" borderId="35" xfId="6" applyFont="1" applyBorder="1" applyAlignment="1">
      <alignment horizontal="left" vertical="top"/>
    </xf>
    <xf numFmtId="0" fontId="3" fillId="0" borderId="45" xfId="6" applyFont="1" applyBorder="1" applyAlignment="1">
      <alignment horizontal="left" vertical="top"/>
    </xf>
    <xf numFmtId="0" fontId="3" fillId="0" borderId="44" xfId="6" applyFont="1" applyBorder="1" applyAlignment="1">
      <alignment horizontal="left" vertical="top"/>
    </xf>
    <xf numFmtId="0" fontId="3" fillId="0" borderId="0" xfId="6" applyFont="1" applyAlignment="1">
      <alignment horizontal="left" vertical="top"/>
    </xf>
    <xf numFmtId="0" fontId="3" fillId="0" borderId="36" xfId="6" applyFont="1" applyBorder="1" applyAlignment="1">
      <alignment horizontal="left" vertical="top"/>
    </xf>
    <xf numFmtId="49" fontId="20" fillId="0" borderId="21" xfId="5" applyNumberFormat="1" applyFont="1" applyBorder="1" applyAlignment="1">
      <alignment horizontal="center" vertical="center" wrapText="1"/>
    </xf>
    <xf numFmtId="49" fontId="20" fillId="0" borderId="1" xfId="5" applyNumberFormat="1" applyFont="1" applyBorder="1" applyAlignment="1">
      <alignment horizontal="center" vertical="center" wrapText="1"/>
    </xf>
    <xf numFmtId="49" fontId="20" fillId="0" borderId="22" xfId="5" applyNumberFormat="1" applyFont="1" applyBorder="1" applyAlignment="1">
      <alignment horizontal="center" vertical="center" wrapText="1"/>
    </xf>
    <xf numFmtId="0" fontId="5" fillId="0" borderId="51" xfId="7" applyNumberFormat="1" applyFont="1" applyFill="1" applyBorder="1" applyAlignment="1" applyProtection="1">
      <alignment horizontal="left" vertical="center" wrapText="1"/>
    </xf>
    <xf numFmtId="0" fontId="5" fillId="0" borderId="49" xfId="7" applyNumberFormat="1" applyFont="1" applyFill="1" applyBorder="1" applyAlignment="1" applyProtection="1">
      <alignment horizontal="left" vertical="center" wrapText="1"/>
    </xf>
    <xf numFmtId="0" fontId="5" fillId="0" borderId="52" xfId="7" applyNumberFormat="1" applyFont="1" applyFill="1" applyBorder="1" applyAlignment="1" applyProtection="1">
      <alignment horizontal="left" vertical="center" wrapText="1"/>
    </xf>
    <xf numFmtId="165" fontId="5" fillId="5" borderId="53" xfId="7" applyFont="1" applyFill="1" applyBorder="1" applyAlignment="1" applyProtection="1">
      <alignment horizontal="left"/>
      <protection locked="0"/>
    </xf>
    <xf numFmtId="165" fontId="5" fillId="5" borderId="48" xfId="7" applyFont="1" applyFill="1" applyBorder="1" applyAlignment="1" applyProtection="1">
      <alignment horizontal="left"/>
      <protection locked="0"/>
    </xf>
    <xf numFmtId="165" fontId="5" fillId="5" borderId="47" xfId="7" applyFont="1" applyFill="1" applyBorder="1" applyAlignment="1" applyProtection="1">
      <alignment horizontal="left"/>
      <protection locked="0"/>
    </xf>
    <xf numFmtId="0" fontId="2" fillId="5" borderId="46" xfId="5" applyFill="1" applyBorder="1" applyAlignment="1" applyProtection="1">
      <alignment horizontal="center" vertical="top" wrapText="1"/>
      <protection locked="0"/>
    </xf>
    <xf numFmtId="0" fontId="2" fillId="5" borderId="54" xfId="5" applyFill="1" applyBorder="1" applyAlignment="1" applyProtection="1">
      <alignment horizontal="center" vertical="top" wrapText="1"/>
      <protection locked="0"/>
    </xf>
    <xf numFmtId="0" fontId="5" fillId="0" borderId="5" xfId="5" applyFont="1" applyBorder="1" applyAlignment="1">
      <alignment horizontal="left" vertical="top"/>
    </xf>
    <xf numFmtId="0" fontId="5" fillId="0" borderId="6" xfId="5" applyFont="1" applyBorder="1" applyAlignment="1">
      <alignment horizontal="left" vertical="top"/>
    </xf>
    <xf numFmtId="0" fontId="7" fillId="0" borderId="5" xfId="5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/>
    </xf>
    <xf numFmtId="4" fontId="7" fillId="0" borderId="6" xfId="5" applyNumberFormat="1" applyFont="1" applyBorder="1" applyAlignment="1">
      <alignment horizontal="center" vertical="center" wrapText="1"/>
    </xf>
    <xf numFmtId="0" fontId="7" fillId="0" borderId="6" xfId="5" applyFont="1" applyBorder="1" applyAlignment="1">
      <alignment horizontal="center"/>
    </xf>
    <xf numFmtId="0" fontId="7" fillId="0" borderId="10" xfId="5" applyFont="1" applyBorder="1" applyAlignment="1">
      <alignment horizontal="center"/>
    </xf>
    <xf numFmtId="0" fontId="2" fillId="0" borderId="35" xfId="5" applyBorder="1" applyAlignment="1">
      <alignment horizontal="center" vertical="top"/>
    </xf>
    <xf numFmtId="0" fontId="2" fillId="0" borderId="0" xfId="5" applyAlignment="1">
      <alignment horizontal="center" vertical="top"/>
    </xf>
    <xf numFmtId="0" fontId="2" fillId="0" borderId="36" xfId="5" applyBorder="1" applyAlignment="1">
      <alignment horizontal="center" vertical="top"/>
    </xf>
    <xf numFmtId="0" fontId="2" fillId="0" borderId="15" xfId="5" applyBorder="1" applyAlignment="1">
      <alignment horizontal="left" vertical="center" wrapText="1"/>
    </xf>
    <xf numFmtId="0" fontId="2" fillId="0" borderId="2" xfId="5" applyBorder="1" applyAlignment="1">
      <alignment horizontal="left" vertical="center" wrapText="1"/>
    </xf>
    <xf numFmtId="0" fontId="2" fillId="0" borderId="16" xfId="5" applyBorder="1" applyAlignment="1">
      <alignment horizontal="left" vertical="center" wrapText="1"/>
    </xf>
    <xf numFmtId="0" fontId="2" fillId="0" borderId="5" xfId="5" applyBorder="1" applyAlignment="1">
      <alignment horizontal="left" vertical="center"/>
    </xf>
    <xf numFmtId="0" fontId="2" fillId="0" borderId="6" xfId="5" applyBorder="1" applyAlignment="1">
      <alignment horizontal="left" vertical="center"/>
    </xf>
    <xf numFmtId="0" fontId="2" fillId="0" borderId="5" xfId="5" applyBorder="1" applyAlignment="1">
      <alignment horizontal="left" vertical="center" wrapText="1"/>
    </xf>
    <xf numFmtId="0" fontId="2" fillId="0" borderId="6" xfId="5" applyBorder="1" applyAlignment="1">
      <alignment horizontal="left" vertical="center" wrapText="1"/>
    </xf>
    <xf numFmtId="0" fontId="15" fillId="0" borderId="60" xfId="5" applyFont="1" applyBorder="1" applyAlignment="1">
      <alignment horizontal="left" vertical="center" wrapText="1"/>
    </xf>
    <xf numFmtId="0" fontId="15" fillId="0" borderId="50" xfId="5" applyFont="1" applyBorder="1" applyAlignment="1">
      <alignment horizontal="left" vertical="center" wrapText="1"/>
    </xf>
    <xf numFmtId="2" fontId="16" fillId="0" borderId="50" xfId="5" applyNumberFormat="1" applyFont="1" applyBorder="1" applyAlignment="1">
      <alignment horizontal="center" vertical="center"/>
    </xf>
    <xf numFmtId="2" fontId="16" fillId="0" borderId="56" xfId="5" applyNumberFormat="1" applyFont="1" applyBorder="1" applyAlignment="1">
      <alignment horizontal="center" vertical="center"/>
    </xf>
    <xf numFmtId="0" fontId="2" fillId="0" borderId="0" xfId="5" applyAlignment="1">
      <alignment horizontal="left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center"/>
    </xf>
    <xf numFmtId="0" fontId="17" fillId="0" borderId="0" xfId="0" quotePrefix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6" fillId="0" borderId="5" xfId="5" applyFont="1" applyBorder="1" applyAlignment="1">
      <alignment horizontal="center" vertical="center" wrapText="1"/>
    </xf>
    <xf numFmtId="0" fontId="6" fillId="0" borderId="6" xfId="5" applyFont="1" applyBorder="1" applyAlignment="1">
      <alignment horizontal="center" vertical="center" wrapText="1"/>
    </xf>
    <xf numFmtId="0" fontId="6" fillId="0" borderId="10" xfId="5" applyFont="1" applyBorder="1" applyAlignment="1">
      <alignment horizontal="center" vertical="center" wrapText="1"/>
    </xf>
    <xf numFmtId="0" fontId="2" fillId="0" borderId="35" xfId="5" applyBorder="1" applyAlignment="1">
      <alignment horizontal="center" vertical="center"/>
    </xf>
    <xf numFmtId="0" fontId="2" fillId="0" borderId="0" xfId="5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</cellXfs>
  <cellStyles count="9">
    <cellStyle name="Moeda 2" xfId="2"/>
    <cellStyle name="Moeda_Composicao BDI v2.1" xfId="7"/>
    <cellStyle name="Normal" xfId="0" builtinId="0"/>
    <cellStyle name="Normal 2" xfId="5"/>
    <cellStyle name="Normal 4 2" xfId="8"/>
    <cellStyle name="Normal_FICHA DE VERIFICAÇÃO PRELIMINAR - Plano R" xfId="6"/>
    <cellStyle name="Porcentagem" xfId="1" builtinId="5"/>
    <cellStyle name="Vírgula" xfId="4" builtinId="3"/>
    <cellStyle name="Vírgula 2" xfId="3"/>
  </cellStyles>
  <dxfs count="5"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/>
        <i val="0"/>
        <color theme="1"/>
      </font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89430</xdr:colOff>
      <xdr:row>0</xdr:row>
      <xdr:rowOff>74746</xdr:rowOff>
    </xdr:from>
    <xdr:to>
      <xdr:col>1</xdr:col>
      <xdr:colOff>172946</xdr:colOff>
      <xdr:row>1</xdr:row>
      <xdr:rowOff>235527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0" y="74746"/>
          <a:ext cx="533010" cy="556764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FF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146050</xdr:colOff>
      <xdr:row>4</xdr:row>
      <xdr:rowOff>201506</xdr:rowOff>
    </xdr:from>
    <xdr:to>
      <xdr:col>16</xdr:col>
      <xdr:colOff>491339</xdr:colOff>
      <xdr:row>4</xdr:row>
      <xdr:rowOff>539749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1217" y="201506"/>
          <a:ext cx="345289" cy="338243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FF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228414</xdr:colOff>
      <xdr:row>0</xdr:row>
      <xdr:rowOff>180975</xdr:rowOff>
    </xdr:from>
    <xdr:to>
      <xdr:col>1</xdr:col>
      <xdr:colOff>347506</xdr:colOff>
      <xdr:row>0</xdr:row>
      <xdr:rowOff>704850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414" y="180975"/>
          <a:ext cx="528667" cy="523875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FF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LAVIO%20LUKIM%20GRECO\PMLF\PMLF\2018%20-%20LEANDRO%20FERREIRA\013%20-%20CAIXA-1040241-48%20-%20MCID%20-PAVIMENTACAO-2017\processo%20de%20analise\Planilha%20-%20BD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  <sheetName val="Planilha - BDI"/>
    </sheetNames>
    <sheetDataSet>
      <sheetData sheetId="0">
        <row r="26">
          <cell r="A26" t="str">
            <v>PREFEITURA MUNICIPAL DE SÃO GONÇALO DO PARÁ</v>
          </cell>
        </row>
        <row r="36">
          <cell r="C36" t="str">
            <v>Sim</v>
          </cell>
        </row>
        <row r="52">
          <cell r="B52" t="str">
            <v>Flávio L. Greco S.</v>
          </cell>
        </row>
        <row r="53">
          <cell r="B53" t="str">
            <v>Engenheiro Civil</v>
          </cell>
        </row>
        <row r="54">
          <cell r="B54" t="str">
            <v>64.880/D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18"/>
  <sheetViews>
    <sheetView view="pageBreakPreview" topLeftCell="A4" zoomScale="89" zoomScaleNormal="100" zoomScaleSheetLayoutView="89" workbookViewId="0">
      <selection activeCell="J10" sqref="J10"/>
    </sheetView>
  </sheetViews>
  <sheetFormatPr defaultRowHeight="15" x14ac:dyDescent="0.25"/>
  <cols>
    <col min="1" max="1" width="6.7109375" customWidth="1"/>
    <col min="2" max="2" width="10" customWidth="1"/>
    <col min="3" max="3" width="52.5703125" customWidth="1"/>
    <col min="4" max="4" width="9.140625" customWidth="1"/>
    <col min="5" max="5" width="11.5703125" customWidth="1"/>
    <col min="6" max="6" width="10.28515625" customWidth="1"/>
    <col min="7" max="7" width="10.140625" customWidth="1"/>
    <col min="8" max="8" width="14.28515625" customWidth="1"/>
    <col min="9" max="9" width="20.5703125" customWidth="1"/>
    <col min="11" max="11" width="9.5703125" bestFit="1" customWidth="1"/>
  </cols>
  <sheetData>
    <row r="1" spans="1:11" ht="31.5" customHeight="1" x14ac:dyDescent="0.25">
      <c r="A1" s="129" t="s">
        <v>91</v>
      </c>
      <c r="B1" s="130"/>
      <c r="C1" s="130"/>
      <c r="D1" s="130"/>
      <c r="E1" s="130"/>
      <c r="F1" s="130"/>
      <c r="G1" s="130"/>
      <c r="H1" s="131"/>
    </row>
    <row r="2" spans="1:11" ht="26.25" customHeight="1" thickBot="1" x14ac:dyDescent="0.3">
      <c r="A2" s="132"/>
      <c r="B2" s="133"/>
      <c r="C2" s="133"/>
      <c r="D2" s="133"/>
      <c r="E2" s="133"/>
      <c r="F2" s="133"/>
      <c r="G2" s="133"/>
      <c r="H2" s="134"/>
    </row>
    <row r="3" spans="1:11" ht="15.75" thickBot="1" x14ac:dyDescent="0.3">
      <c r="A3" s="126" t="s">
        <v>0</v>
      </c>
      <c r="B3" s="127"/>
      <c r="C3" s="127"/>
      <c r="D3" s="127"/>
      <c r="E3" s="127"/>
      <c r="F3" s="127"/>
      <c r="G3" s="127"/>
      <c r="H3" s="128"/>
    </row>
    <row r="4" spans="1:11" ht="27" customHeight="1" x14ac:dyDescent="0.25">
      <c r="A4" s="137" t="s">
        <v>93</v>
      </c>
      <c r="B4" s="138"/>
      <c r="C4" s="138"/>
      <c r="D4" s="138"/>
      <c r="E4" s="139"/>
      <c r="F4" s="140">
        <v>45607</v>
      </c>
      <c r="G4" s="141"/>
      <c r="H4" s="142"/>
    </row>
    <row r="5" spans="1:11" x14ac:dyDescent="0.25">
      <c r="A5" s="143" t="s">
        <v>94</v>
      </c>
      <c r="B5" s="144"/>
      <c r="C5" s="144"/>
      <c r="D5" s="145"/>
      <c r="E5" s="146" t="s">
        <v>1</v>
      </c>
      <c r="F5" s="147"/>
      <c r="G5" s="147"/>
      <c r="H5" s="148"/>
    </row>
    <row r="6" spans="1:11" ht="30.6" customHeight="1" x14ac:dyDescent="0.25">
      <c r="A6" s="149" t="s">
        <v>109</v>
      </c>
      <c r="B6" s="150"/>
      <c r="C6" s="150"/>
      <c r="D6" s="151"/>
      <c r="E6" s="118" t="s">
        <v>2</v>
      </c>
      <c r="F6" s="119" t="s">
        <v>3</v>
      </c>
      <c r="G6" s="102" t="s">
        <v>4</v>
      </c>
      <c r="H6" s="1" t="s">
        <v>5</v>
      </c>
    </row>
    <row r="7" spans="1:11" ht="15.75" thickBot="1" x14ac:dyDescent="0.3">
      <c r="A7" s="152" t="s">
        <v>24</v>
      </c>
      <c r="B7" s="153"/>
      <c r="C7" s="153"/>
      <c r="D7" s="154"/>
      <c r="E7" s="155" t="s">
        <v>96</v>
      </c>
      <c r="F7" s="156"/>
      <c r="G7" s="2" t="s">
        <v>23</v>
      </c>
      <c r="H7" s="16">
        <f>BDI!N27</f>
        <v>0.23860000000000001</v>
      </c>
    </row>
    <row r="8" spans="1:11" ht="38.25" x14ac:dyDescent="0.25">
      <c r="A8" s="17" t="s">
        <v>6</v>
      </c>
      <c r="B8" s="18" t="s">
        <v>7</v>
      </c>
      <c r="C8" s="18" t="s">
        <v>8</v>
      </c>
      <c r="D8" s="18" t="s">
        <v>9</v>
      </c>
      <c r="E8" s="18" t="s">
        <v>10</v>
      </c>
      <c r="F8" s="19" t="s">
        <v>11</v>
      </c>
      <c r="G8" s="19" t="s">
        <v>12</v>
      </c>
      <c r="H8" s="20" t="s">
        <v>13</v>
      </c>
    </row>
    <row r="9" spans="1:11" x14ac:dyDescent="0.25">
      <c r="A9" s="4">
        <v>1</v>
      </c>
      <c r="B9" s="12"/>
      <c r="C9" s="13" t="s">
        <v>14</v>
      </c>
      <c r="D9" s="3"/>
      <c r="E9" s="15"/>
      <c r="F9" s="15"/>
      <c r="G9" s="15"/>
      <c r="H9" s="14"/>
    </row>
    <row r="10" spans="1:11" ht="58.15" customHeight="1" x14ac:dyDescent="0.25">
      <c r="A10" s="120" t="s">
        <v>15</v>
      </c>
      <c r="B10" s="121" t="s">
        <v>98</v>
      </c>
      <c r="C10" s="122" t="s">
        <v>99</v>
      </c>
      <c r="D10" s="123" t="s">
        <v>100</v>
      </c>
      <c r="E10" s="15">
        <v>4000</v>
      </c>
      <c r="F10" s="125">
        <v>9.9700000000000006</v>
      </c>
      <c r="G10" s="15">
        <f>ROUND((F10*H7)+F10,2)</f>
        <v>12.35</v>
      </c>
      <c r="H10" s="14">
        <f>ROUND(G10*E10,2)</f>
        <v>49400</v>
      </c>
    </row>
    <row r="11" spans="1:11" ht="44.45" customHeight="1" x14ac:dyDescent="0.25">
      <c r="A11" s="120" t="s">
        <v>16</v>
      </c>
      <c r="B11" s="121" t="s">
        <v>101</v>
      </c>
      <c r="C11" s="124" t="s">
        <v>102</v>
      </c>
      <c r="D11" s="123" t="s">
        <v>100</v>
      </c>
      <c r="E11" s="15">
        <f>E10</f>
        <v>4000</v>
      </c>
      <c r="F11" s="125">
        <v>2.23</v>
      </c>
      <c r="G11" s="15">
        <f>ROUND((F11*H$7)+F11,2)</f>
        <v>2.76</v>
      </c>
      <c r="H11" s="14">
        <f>ROUND(G11*E11,2)</f>
        <v>11040</v>
      </c>
    </row>
    <row r="12" spans="1:11" ht="45.6" customHeight="1" x14ac:dyDescent="0.25">
      <c r="A12" s="120" t="s">
        <v>17</v>
      </c>
      <c r="B12" s="121" t="s">
        <v>103</v>
      </c>
      <c r="C12" s="124" t="s">
        <v>104</v>
      </c>
      <c r="D12" s="123" t="s">
        <v>105</v>
      </c>
      <c r="E12" s="15">
        <f>E11*0.05</f>
        <v>200</v>
      </c>
      <c r="F12" s="125">
        <v>1853.08</v>
      </c>
      <c r="G12" s="15">
        <f>ROUND((F12*H$7)+F12,2)</f>
        <v>2295.2199999999998</v>
      </c>
      <c r="H12" s="14">
        <f>ROUND(G12*E12,2)</f>
        <v>459044</v>
      </c>
    </row>
    <row r="13" spans="1:11" ht="51" x14ac:dyDescent="0.25">
      <c r="A13" s="120" t="s">
        <v>18</v>
      </c>
      <c r="B13" s="121" t="s">
        <v>106</v>
      </c>
      <c r="C13" s="124" t="s">
        <v>107</v>
      </c>
      <c r="D13" s="123" t="s">
        <v>108</v>
      </c>
      <c r="E13" s="15">
        <f>E12*64.4</f>
        <v>12880.000000000002</v>
      </c>
      <c r="F13" s="125">
        <v>1.59</v>
      </c>
      <c r="G13" s="15">
        <f>ROUND((F13*H$7)+F13,2)</f>
        <v>1.97</v>
      </c>
      <c r="H13" s="14">
        <f>ROUND(G13*E13,2)</f>
        <v>25373.599999999999</v>
      </c>
    </row>
    <row r="14" spans="1:11" thickBot="1" x14ac:dyDescent="0.35">
      <c r="A14" s="135" t="s">
        <v>19</v>
      </c>
      <c r="B14" s="136"/>
      <c r="C14" s="136"/>
      <c r="D14" s="136"/>
      <c r="E14" s="136"/>
      <c r="F14" s="136"/>
      <c r="G14" s="136"/>
      <c r="H14" s="21">
        <f>SUM(H10:H13)</f>
        <v>544857.59999999998</v>
      </c>
      <c r="I14" s="106"/>
      <c r="K14" s="34"/>
    </row>
    <row r="15" spans="1:11" ht="30.6" customHeight="1" x14ac:dyDescent="0.3">
      <c r="A15" s="22"/>
      <c r="B15" s="23"/>
      <c r="C15" s="23"/>
      <c r="D15" s="23"/>
      <c r="E15" s="23"/>
      <c r="F15" s="23"/>
      <c r="G15" s="23"/>
      <c r="H15" s="24"/>
    </row>
    <row r="16" spans="1:11" x14ac:dyDescent="0.25">
      <c r="A16" s="25"/>
      <c r="B16" s="6"/>
      <c r="C16" s="6" t="s">
        <v>20</v>
      </c>
      <c r="D16" s="5"/>
      <c r="E16" s="7"/>
      <c r="F16" s="8"/>
      <c r="G16" s="9"/>
      <c r="H16" s="26"/>
    </row>
    <row r="17" spans="1:8" ht="14.45" x14ac:dyDescent="0.3">
      <c r="A17" s="27"/>
      <c r="B17" s="7"/>
      <c r="C17" s="7" t="s">
        <v>21</v>
      </c>
      <c r="D17" s="10"/>
      <c r="E17" s="7"/>
      <c r="F17" s="8"/>
      <c r="G17" s="11"/>
      <c r="H17" s="28"/>
    </row>
    <row r="18" spans="1:8" thickBot="1" x14ac:dyDescent="0.35">
      <c r="A18" s="29"/>
      <c r="B18" s="30"/>
      <c r="C18" s="30" t="s">
        <v>22</v>
      </c>
      <c r="D18" s="31"/>
      <c r="E18" s="32"/>
      <c r="F18" s="32"/>
      <c r="G18" s="31"/>
      <c r="H18" s="33"/>
    </row>
  </sheetData>
  <mergeCells count="10">
    <mergeCell ref="A3:H3"/>
    <mergeCell ref="A1:H2"/>
    <mergeCell ref="A14:G14"/>
    <mergeCell ref="A4:E4"/>
    <mergeCell ref="F4:H4"/>
    <mergeCell ref="A5:D5"/>
    <mergeCell ref="E5:H5"/>
    <mergeCell ref="A6:D6"/>
    <mergeCell ref="A7:D7"/>
    <mergeCell ref="E7:F7"/>
  </mergeCells>
  <phoneticPr fontId="10" type="noConversion"/>
  <pageMargins left="0.78740157480314965" right="0.19685039370078741" top="0.59055118110236227" bottom="0.59055118110236227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view="pageBreakPreview" topLeftCell="I20" zoomScale="90" zoomScaleNormal="100" zoomScaleSheetLayoutView="90" workbookViewId="0">
      <selection activeCell="O23" sqref="O23"/>
    </sheetView>
  </sheetViews>
  <sheetFormatPr defaultColWidth="11.5703125" defaultRowHeight="12.75" x14ac:dyDescent="0.2"/>
  <cols>
    <col min="1" max="1" width="30.28515625" style="67" hidden="1" customWidth="1"/>
    <col min="2" max="3" width="9.140625" style="67" hidden="1" customWidth="1"/>
    <col min="4" max="4" width="23.5703125" style="67" hidden="1" customWidth="1"/>
    <col min="5" max="8" width="9.140625" style="67" hidden="1" customWidth="1"/>
    <col min="9" max="11" width="10.7109375" style="67" customWidth="1"/>
    <col min="12" max="12" width="6.28515625" style="67" customWidth="1"/>
    <col min="13" max="13" width="10.140625" style="67" customWidth="1"/>
    <col min="14" max="15" width="10.7109375" style="67" customWidth="1"/>
    <col min="16" max="16" width="9.85546875" style="67" customWidth="1"/>
    <col min="17" max="16384" width="11.5703125" style="67"/>
  </cols>
  <sheetData>
    <row r="1" spans="1:17" ht="15" hidden="1" customHeight="1" x14ac:dyDescent="0.25">
      <c r="E1" s="68" t="s">
        <v>43</v>
      </c>
      <c r="F1" s="68" t="s">
        <v>44</v>
      </c>
      <c r="G1" s="68" t="s">
        <v>45</v>
      </c>
      <c r="I1" s="80"/>
      <c r="J1" s="81"/>
      <c r="K1" s="81"/>
      <c r="L1" s="81"/>
      <c r="M1" s="81"/>
      <c r="N1" s="82"/>
      <c r="O1" s="81"/>
      <c r="P1" s="161" t="s">
        <v>46</v>
      </c>
      <c r="Q1" s="162"/>
    </row>
    <row r="2" spans="1:17" ht="16.149999999999999" hidden="1" thickBot="1" x14ac:dyDescent="0.35">
      <c r="A2" s="67" t="s">
        <v>47</v>
      </c>
      <c r="B2" s="69" t="s">
        <v>48</v>
      </c>
      <c r="C2" s="67" t="str">
        <f t="shared" ref="C2:C34" si="0">CONCATENATE(A2,"-",B2)</f>
        <v>Construção e Reforma de Edifícios-AC</v>
      </c>
      <c r="E2" s="70">
        <v>0.03</v>
      </c>
      <c r="F2" s="70">
        <v>0.04</v>
      </c>
      <c r="G2" s="70">
        <v>5.5E-2</v>
      </c>
      <c r="I2" s="78"/>
      <c r="N2" s="83" t="e">
        <f ca="1">"Quadro de Composição do BDI "&amp;MID(CELL("nome.arquivo",N2),5+FIND("BDI (",CELL("nome.arquivo",N2)),1)</f>
        <v>#VALUE!</v>
      </c>
      <c r="P2" s="163" t="s">
        <v>49</v>
      </c>
      <c r="Q2" s="164"/>
    </row>
    <row r="3" spans="1:17" ht="13.9" hidden="1" thickBot="1" x14ac:dyDescent="0.3">
      <c r="A3" s="67" t="str">
        <f>A2</f>
        <v>Construção e Reforma de Edifícios</v>
      </c>
      <c r="B3" s="69" t="s">
        <v>50</v>
      </c>
      <c r="C3" s="67" t="str">
        <f t="shared" si="0"/>
        <v>Construção e Reforma de Edifícios-SG</v>
      </c>
      <c r="E3" s="70">
        <v>8.0000000000000002E-3</v>
      </c>
      <c r="F3" s="70">
        <v>8.0000000000000002E-3</v>
      </c>
      <c r="G3" s="70">
        <v>0.01</v>
      </c>
      <c r="I3" s="78"/>
      <c r="Q3" s="79"/>
    </row>
    <row r="4" spans="1:17" ht="13.9" hidden="1" thickBot="1" x14ac:dyDescent="0.3">
      <c r="A4" s="67" t="str">
        <f>A3</f>
        <v>Construção e Reforma de Edifícios</v>
      </c>
      <c r="B4" s="69" t="s">
        <v>51</v>
      </c>
      <c r="C4" s="67" t="str">
        <f t="shared" si="0"/>
        <v>Construção e Reforma de Edifícios-R</v>
      </c>
      <c r="E4" s="70">
        <v>9.7000000000000003E-3</v>
      </c>
      <c r="F4" s="70">
        <v>1.2699999999999999E-2</v>
      </c>
      <c r="G4" s="70">
        <v>1.2699999999999999E-2</v>
      </c>
      <c r="I4" s="165" t="s">
        <v>52</v>
      </c>
      <c r="J4" s="166"/>
      <c r="K4" s="167" t="s">
        <v>53</v>
      </c>
      <c r="L4" s="168"/>
      <c r="M4" s="168"/>
      <c r="N4" s="168"/>
      <c r="O4" s="168"/>
      <c r="P4" s="168"/>
      <c r="Q4" s="169"/>
    </row>
    <row r="5" spans="1:17" ht="60.75" customHeight="1" thickBot="1" x14ac:dyDescent="0.25">
      <c r="A5" s="67" t="str">
        <f>A4</f>
        <v>Construção e Reforma de Edifícios</v>
      </c>
      <c r="B5" s="69" t="s">
        <v>54</v>
      </c>
      <c r="C5" s="67" t="str">
        <f t="shared" si="0"/>
        <v>Construção e Reforma de Edifícios-DF</v>
      </c>
      <c r="E5" s="70">
        <v>5.8999999999999999E-3</v>
      </c>
      <c r="F5" s="70">
        <v>1.23E-2</v>
      </c>
      <c r="G5" s="70">
        <v>1.3899999999999999E-2</v>
      </c>
      <c r="I5" s="170" t="s">
        <v>95</v>
      </c>
      <c r="J5" s="171"/>
      <c r="K5" s="171"/>
      <c r="L5" s="171"/>
      <c r="M5" s="171"/>
      <c r="N5" s="171"/>
      <c r="O5" s="171"/>
      <c r="P5" s="171"/>
      <c r="Q5" s="172"/>
    </row>
    <row r="6" spans="1:17" ht="1.5" customHeight="1" x14ac:dyDescent="0.25">
      <c r="A6" s="67" t="str">
        <f>A5</f>
        <v>Construção e Reforma de Edifícios</v>
      </c>
      <c r="B6" s="69" t="s">
        <v>55</v>
      </c>
      <c r="C6" s="67" t="str">
        <f t="shared" si="0"/>
        <v>Construção e Reforma de Edifícios-L</v>
      </c>
      <c r="E6" s="70">
        <v>6.1600000000000002E-2</v>
      </c>
      <c r="F6" s="70">
        <v>7.400000000000001E-2</v>
      </c>
      <c r="G6" s="70">
        <v>8.9600000000000013E-2</v>
      </c>
      <c r="I6" s="84"/>
      <c r="J6" s="85"/>
      <c r="K6" s="85"/>
      <c r="L6" s="85"/>
      <c r="M6" s="85"/>
      <c r="N6" s="85"/>
      <c r="O6" s="85"/>
      <c r="P6" s="85"/>
      <c r="Q6" s="86"/>
    </row>
    <row r="7" spans="1:17" ht="14.25" customHeight="1" x14ac:dyDescent="0.25">
      <c r="A7" s="67" t="str">
        <f>A6</f>
        <v>Construção e Reforma de Edifícios</v>
      </c>
      <c r="B7" s="71" t="s">
        <v>56</v>
      </c>
      <c r="C7" s="67" t="str">
        <f t="shared" si="0"/>
        <v>Construção e Reforma de Edifícios-BDI PAD</v>
      </c>
      <c r="E7" s="70">
        <v>0.2034</v>
      </c>
      <c r="F7" s="70">
        <v>0.22120000000000001</v>
      </c>
      <c r="G7" s="70">
        <v>0.25</v>
      </c>
      <c r="I7" s="165" t="s">
        <v>57</v>
      </c>
      <c r="J7" s="168"/>
      <c r="K7" s="168"/>
      <c r="L7" s="168"/>
      <c r="M7" s="168"/>
      <c r="N7" s="168"/>
      <c r="O7" s="168"/>
      <c r="P7" s="168"/>
      <c r="Q7" s="169"/>
    </row>
    <row r="8" spans="1:17" ht="23.25" customHeight="1" x14ac:dyDescent="0.2">
      <c r="A8" s="67" t="s">
        <v>58</v>
      </c>
      <c r="B8" s="69" t="s">
        <v>48</v>
      </c>
      <c r="C8" s="67" t="str">
        <f t="shared" si="0"/>
        <v>Construção de Praças Urbanas, Rodovias, Ferrovias e recapeamento e pavimentação de vias urbanas-AC</v>
      </c>
      <c r="E8" s="70">
        <v>3.7999999999999999E-2</v>
      </c>
      <c r="F8" s="70">
        <v>4.0099999999999997E-2</v>
      </c>
      <c r="G8" s="70">
        <v>4.6699999999999998E-2</v>
      </c>
      <c r="I8" s="173" t="s">
        <v>97</v>
      </c>
      <c r="J8" s="174"/>
      <c r="K8" s="174"/>
      <c r="L8" s="174"/>
      <c r="M8" s="174"/>
      <c r="N8" s="174"/>
      <c r="O8" s="174"/>
      <c r="P8" s="174"/>
      <c r="Q8" s="175"/>
    </row>
    <row r="9" spans="1:17" ht="3.75" customHeight="1" x14ac:dyDescent="0.2">
      <c r="A9" s="67" t="s">
        <v>58</v>
      </c>
      <c r="B9" s="69" t="s">
        <v>50</v>
      </c>
      <c r="C9" s="67" t="str">
        <f t="shared" si="0"/>
        <v>Construção de Praças Urbanas, Rodovias, Ferrovias e recapeamento e pavimentação de vias urbanas-SG</v>
      </c>
      <c r="E9" s="70">
        <v>3.2000000000000002E-3</v>
      </c>
      <c r="F9" s="70">
        <v>4.0000000000000001E-3</v>
      </c>
      <c r="G9" s="70">
        <v>7.4000000000000003E-3</v>
      </c>
      <c r="I9" s="84"/>
      <c r="J9" s="85"/>
      <c r="K9" s="85"/>
      <c r="L9" s="85"/>
      <c r="M9" s="85"/>
      <c r="N9" s="85"/>
      <c r="O9" s="85"/>
      <c r="P9" s="85"/>
      <c r="Q9" s="86"/>
    </row>
    <row r="10" spans="1:17" ht="13.15" hidden="1" x14ac:dyDescent="0.25">
      <c r="A10" s="67" t="s">
        <v>58</v>
      </c>
      <c r="B10" s="69" t="s">
        <v>51</v>
      </c>
      <c r="C10" s="67" t="str">
        <f t="shared" si="0"/>
        <v>Construção de Praças Urbanas, Rodovias, Ferrovias e recapeamento e pavimentação de vias urbanas-R</v>
      </c>
      <c r="E10" s="70">
        <v>5.0000000000000001E-3</v>
      </c>
      <c r="F10" s="70">
        <v>5.6000000000000008E-3</v>
      </c>
      <c r="G10" s="70">
        <v>9.7000000000000003E-3</v>
      </c>
      <c r="I10" s="165" t="s">
        <v>59</v>
      </c>
      <c r="J10" s="168"/>
      <c r="K10" s="168"/>
      <c r="L10" s="168"/>
      <c r="M10" s="168"/>
      <c r="N10" s="168"/>
      <c r="O10" s="168"/>
      <c r="P10" s="167" t="s">
        <v>60</v>
      </c>
      <c r="Q10" s="169"/>
    </row>
    <row r="11" spans="1:17" ht="13.15" hidden="1" x14ac:dyDescent="0.25">
      <c r="A11" s="67" t="s">
        <v>58</v>
      </c>
      <c r="B11" s="69" t="s">
        <v>54</v>
      </c>
      <c r="C11" s="67" t="str">
        <f t="shared" si="0"/>
        <v>Construção de Praças Urbanas, Rodovias, Ferrovias e recapeamento e pavimentação de vias urbanas-DF</v>
      </c>
      <c r="E11" s="70">
        <v>1.0200000000000001E-2</v>
      </c>
      <c r="F11" s="70">
        <v>1.11E-2</v>
      </c>
      <c r="G11" s="70">
        <v>1.21E-2</v>
      </c>
      <c r="I11" s="176" t="s">
        <v>47</v>
      </c>
      <c r="J11" s="177"/>
      <c r="K11" s="177"/>
      <c r="L11" s="177"/>
      <c r="M11" s="177"/>
      <c r="N11" s="177"/>
      <c r="O11" s="178"/>
      <c r="P11" s="179" t="str">
        <f>IF([1]DADOS!C36&lt;&gt;"",[1]DADOS!C36,"")</f>
        <v>Sim</v>
      </c>
      <c r="Q11" s="180"/>
    </row>
    <row r="12" spans="1:17" ht="13.15" hidden="1" x14ac:dyDescent="0.25">
      <c r="A12" s="67" t="s">
        <v>58</v>
      </c>
      <c r="B12" s="69" t="s">
        <v>55</v>
      </c>
      <c r="C12" s="67" t="str">
        <f t="shared" si="0"/>
        <v>Construção de Praças Urbanas, Rodovias, Ferrovias e recapeamento e pavimentação de vias urbanas-L</v>
      </c>
      <c r="E12" s="70">
        <v>6.6400000000000001E-2</v>
      </c>
      <c r="F12" s="70">
        <v>7.2999999999999995E-2</v>
      </c>
      <c r="G12" s="70">
        <v>8.6899999999999991E-2</v>
      </c>
      <c r="I12" s="78"/>
      <c r="Q12" s="79"/>
    </row>
    <row r="13" spans="1:17" ht="25.5" customHeight="1" x14ac:dyDescent="0.2">
      <c r="A13" s="67" t="s">
        <v>58</v>
      </c>
      <c r="B13" s="71" t="s">
        <v>56</v>
      </c>
      <c r="C13" s="67" t="str">
        <f t="shared" si="0"/>
        <v>Construção de Praças Urbanas, Rodovias, Ferrovias e recapeamento e pavimentação de vias urbanas-BDI PAD</v>
      </c>
      <c r="E13" s="70">
        <v>0.19600000000000001</v>
      </c>
      <c r="F13" s="70">
        <v>0.2097</v>
      </c>
      <c r="G13" s="70">
        <v>0.24230000000000002</v>
      </c>
      <c r="I13" s="157" t="s">
        <v>61</v>
      </c>
      <c r="J13" s="158"/>
      <c r="K13" s="158"/>
      <c r="L13" s="158"/>
      <c r="M13" s="158"/>
      <c r="N13" s="158"/>
      <c r="O13" s="158"/>
      <c r="P13" s="159">
        <v>1</v>
      </c>
      <c r="Q13" s="160"/>
    </row>
    <row r="14" spans="1:17" ht="15" customHeight="1" x14ac:dyDescent="0.2">
      <c r="A14" s="67" t="s">
        <v>62</v>
      </c>
      <c r="B14" s="69" t="s">
        <v>48</v>
      </c>
      <c r="C14" s="67" t="str">
        <f t="shared" si="0"/>
        <v>Construção de Redes de Abastecimento de Água, Coleta de Esgoto-AC</v>
      </c>
      <c r="E14" s="70">
        <v>3.4300000000000004E-2</v>
      </c>
      <c r="F14" s="70">
        <v>4.9299999999999997E-2</v>
      </c>
      <c r="G14" s="70">
        <v>6.7099999999999993E-2</v>
      </c>
      <c r="I14" s="181" t="s">
        <v>63</v>
      </c>
      <c r="J14" s="182"/>
      <c r="K14" s="182"/>
      <c r="L14" s="182"/>
      <c r="M14" s="182"/>
      <c r="N14" s="182"/>
      <c r="O14" s="182"/>
      <c r="P14" s="159">
        <v>0.03</v>
      </c>
      <c r="Q14" s="160"/>
    </row>
    <row r="15" spans="1:17" ht="7.5" customHeight="1" x14ac:dyDescent="0.25">
      <c r="A15" s="67" t="str">
        <f>A14</f>
        <v>Construção de Redes de Abastecimento de Água, Coleta de Esgoto</v>
      </c>
      <c r="B15" s="69" t="s">
        <v>50</v>
      </c>
      <c r="C15" s="67" t="str">
        <f t="shared" si="0"/>
        <v>Construção de Redes de Abastecimento de Água, Coleta de Esgoto-SG</v>
      </c>
      <c r="E15" s="70">
        <v>2.8000000000000004E-3</v>
      </c>
      <c r="F15" s="70">
        <v>4.8999999999999998E-3</v>
      </c>
      <c r="G15" s="70">
        <v>7.4999999999999997E-3</v>
      </c>
      <c r="I15" s="78"/>
      <c r="Q15" s="79"/>
    </row>
    <row r="16" spans="1:17" ht="15" x14ac:dyDescent="0.25">
      <c r="B16" s="69"/>
      <c r="E16" s="70"/>
      <c r="F16" s="70"/>
      <c r="G16" s="70"/>
      <c r="I16" s="183" t="s">
        <v>64</v>
      </c>
      <c r="J16" s="184"/>
      <c r="K16" s="184"/>
      <c r="L16" s="184"/>
      <c r="M16" s="184" t="s">
        <v>65</v>
      </c>
      <c r="N16" s="185" t="s">
        <v>66</v>
      </c>
      <c r="O16" s="186" t="s">
        <v>67</v>
      </c>
      <c r="P16" s="186"/>
      <c r="Q16" s="187"/>
    </row>
    <row r="17" spans="1:17" ht="15" x14ac:dyDescent="0.2">
      <c r="A17" s="67" t="str">
        <f>A15</f>
        <v>Construção de Redes de Abastecimento de Água, Coleta de Esgoto</v>
      </c>
      <c r="B17" s="69" t="s">
        <v>51</v>
      </c>
      <c r="C17" s="67" t="str">
        <f t="shared" si="0"/>
        <v>Construção de Redes de Abastecimento de Água, Coleta de Esgoto-R</v>
      </c>
      <c r="E17" s="70">
        <v>0.01</v>
      </c>
      <c r="F17" s="70">
        <v>1.3899999999999999E-2</v>
      </c>
      <c r="G17" s="70">
        <v>1.7399999999999999E-2</v>
      </c>
      <c r="I17" s="183"/>
      <c r="J17" s="184"/>
      <c r="K17" s="184"/>
      <c r="L17" s="184"/>
      <c r="M17" s="184"/>
      <c r="N17" s="185"/>
      <c r="O17" s="113" t="s">
        <v>68</v>
      </c>
      <c r="P17" s="113" t="s">
        <v>69</v>
      </c>
      <c r="Q17" s="87" t="s">
        <v>70</v>
      </c>
    </row>
    <row r="18" spans="1:17" ht="30.75" customHeight="1" x14ac:dyDescent="0.25">
      <c r="A18" s="67" t="str">
        <f>A17</f>
        <v>Construção de Redes de Abastecimento de Água, Coleta de Esgoto</v>
      </c>
      <c r="B18" s="69" t="s">
        <v>54</v>
      </c>
      <c r="C18" s="67" t="str">
        <f t="shared" si="0"/>
        <v>Construção de Redes de Abastecimento de Água, Coleta de Esgoto-DF</v>
      </c>
      <c r="E18" s="70">
        <v>9.3999999999999986E-3</v>
      </c>
      <c r="F18" s="70">
        <v>9.8999999999999991E-3</v>
      </c>
      <c r="G18" s="70">
        <v>1.1699999999999999E-2</v>
      </c>
      <c r="I18" s="191" t="str">
        <f>IF($I$11=$A$43,"Encargos Sociais incidentes sobre a mão de obra","Administração Central")</f>
        <v>Administração Central</v>
      </c>
      <c r="J18" s="192"/>
      <c r="K18" s="192"/>
      <c r="L18" s="193"/>
      <c r="M18" s="72" t="str">
        <f>IF($I$11=$A$43,"K1","AC")</f>
        <v>AC</v>
      </c>
      <c r="N18" s="73">
        <v>0.03</v>
      </c>
      <c r="O18" s="74">
        <f>VLOOKUP(CONCATENATE(I$11,"-",M18),$C$2:$G$34,3,FALSE)</f>
        <v>0.03</v>
      </c>
      <c r="P18" s="74">
        <f>VLOOKUP(CONCATENATE(I$11,"-",M18),$C$2:$G$34,4,FALSE)</f>
        <v>0.04</v>
      </c>
      <c r="Q18" s="88">
        <f>VLOOKUP(CONCATENATE(I$11,"-",M18),$C$2:$G$34,5,FALSE)</f>
        <v>5.5E-2</v>
      </c>
    </row>
    <row r="19" spans="1:17" ht="30.75" customHeight="1" x14ac:dyDescent="0.25">
      <c r="A19" s="67" t="str">
        <f>A18</f>
        <v>Construção de Redes de Abastecimento de Água, Coleta de Esgoto</v>
      </c>
      <c r="B19" s="69" t="s">
        <v>55</v>
      </c>
      <c r="C19" s="67" t="str">
        <f t="shared" si="0"/>
        <v>Construção de Redes de Abastecimento de Água, Coleta de Esgoto-L</v>
      </c>
      <c r="E19" s="70">
        <v>6.7400000000000002E-2</v>
      </c>
      <c r="F19" s="70">
        <v>8.0399999999999985E-2</v>
      </c>
      <c r="G19" s="70">
        <v>9.4E-2</v>
      </c>
      <c r="I19" s="191" t="str">
        <f>IF($I$11=$A$43,"Administração Central da empresa ou consultoria - overhead","Seguro e Garantia")</f>
        <v>Seguro e Garantia</v>
      </c>
      <c r="J19" s="192"/>
      <c r="K19" s="192"/>
      <c r="L19" s="193"/>
      <c r="M19" s="72" t="str">
        <f>IF($I$11=$A$43,"K2","SG")</f>
        <v>SG</v>
      </c>
      <c r="N19" s="73">
        <v>8.0000000000000002E-3</v>
      </c>
      <c r="O19" s="74">
        <f>VLOOKUP(CONCATENATE(I$11,"-",M19),$C$2:$G$34,3,FALSE)</f>
        <v>8.0000000000000002E-3</v>
      </c>
      <c r="P19" s="74">
        <f>VLOOKUP(CONCATENATE(I$11,"-",M19),$C$2:$G$34,4,FALSE)</f>
        <v>8.0000000000000002E-3</v>
      </c>
      <c r="Q19" s="88">
        <f>VLOOKUP(CONCATENATE(I$11,"-",M19),$C$2:$G$34,5,FALSE)</f>
        <v>0.01</v>
      </c>
    </row>
    <row r="20" spans="1:17" ht="30.75" customHeight="1" x14ac:dyDescent="0.25">
      <c r="A20" s="67" t="str">
        <f>A19</f>
        <v>Construção de Redes de Abastecimento de Água, Coleta de Esgoto</v>
      </c>
      <c r="B20" s="71" t="s">
        <v>56</v>
      </c>
      <c r="C20" s="67" t="str">
        <f t="shared" si="0"/>
        <v>Construção de Redes de Abastecimento de Água, Coleta de Esgoto-BDI PAD</v>
      </c>
      <c r="E20" s="70">
        <v>0.20760000000000001</v>
      </c>
      <c r="F20" s="70">
        <v>0.24179999999999999</v>
      </c>
      <c r="G20" s="70">
        <v>0.26440000000000002</v>
      </c>
      <c r="I20" s="191" t="str">
        <f>IF($I$11=$A$43,"","Risco")</f>
        <v>Risco</v>
      </c>
      <c r="J20" s="192"/>
      <c r="K20" s="192"/>
      <c r="L20" s="193"/>
      <c r="M20" s="72" t="str">
        <f>IF($I$11=$A$43,"","R")</f>
        <v>R</v>
      </c>
      <c r="N20" s="73">
        <v>9.7000000000000003E-3</v>
      </c>
      <c r="O20" s="74">
        <f>VLOOKUP(CONCATENATE(I$11,"-",M20),$C$2:$G$34,3,FALSE)</f>
        <v>9.7000000000000003E-3</v>
      </c>
      <c r="P20" s="74">
        <f>VLOOKUP(CONCATENATE(I$11,"-",M20),$C$2:$G$34,4,FALSE)</f>
        <v>1.2699999999999999E-2</v>
      </c>
      <c r="Q20" s="88">
        <f>VLOOKUP(CONCATENATE(I$11,"-",M20),$C$2:$G$34,5,FALSE)</f>
        <v>1.2699999999999999E-2</v>
      </c>
    </row>
    <row r="21" spans="1:17" ht="30.75" customHeight="1" x14ac:dyDescent="0.2">
      <c r="A21" s="67" t="s">
        <v>71</v>
      </c>
      <c r="B21" s="69" t="s">
        <v>48</v>
      </c>
      <c r="C21" s="67" t="str">
        <f t="shared" si="0"/>
        <v>Construção e Manutenção de Estações e Redes de Distribuição de Energia Elétrica-AC</v>
      </c>
      <c r="E21" s="70">
        <v>5.2900000000000003E-2</v>
      </c>
      <c r="F21" s="70">
        <v>5.9200000000000003E-2</v>
      </c>
      <c r="G21" s="70">
        <v>7.9299999999999995E-2</v>
      </c>
      <c r="I21" s="191" t="str">
        <f>IF($I$11=$A$43,"","Despesas Financeiras")</f>
        <v>Despesas Financeiras</v>
      </c>
      <c r="J21" s="192"/>
      <c r="K21" s="192"/>
      <c r="L21" s="193"/>
      <c r="M21" s="72" t="str">
        <f>IF($I$11=$A$43,"","DF")</f>
        <v>DF</v>
      </c>
      <c r="N21" s="73">
        <v>0.01</v>
      </c>
      <c r="O21" s="74">
        <f>VLOOKUP(CONCATENATE(I$11,"-",M21),$C$2:$G$34,3,FALSE)</f>
        <v>5.8999999999999999E-3</v>
      </c>
      <c r="P21" s="74">
        <f>VLOOKUP(CONCATENATE(I$11,"-",M21),$C$2:$G$34,4,FALSE)</f>
        <v>1.23E-2</v>
      </c>
      <c r="Q21" s="88">
        <f>VLOOKUP(CONCATENATE(I$11,"-",M21),$C$2:$G$34,5,FALSE)</f>
        <v>1.3899999999999999E-2</v>
      </c>
    </row>
    <row r="22" spans="1:17" ht="30.75" customHeight="1" x14ac:dyDescent="0.25">
      <c r="A22" s="67" t="str">
        <f>A21</f>
        <v>Construção e Manutenção de Estações e Redes de Distribuição de Energia Elétrica</v>
      </c>
      <c r="B22" s="69" t="s">
        <v>50</v>
      </c>
      <c r="C22" s="67" t="str">
        <f t="shared" si="0"/>
        <v>Construção e Manutenção de Estações e Redes de Distribuição de Energia Elétrica-SG</v>
      </c>
      <c r="E22" s="70">
        <v>2.5000000000000001E-3</v>
      </c>
      <c r="F22" s="70">
        <v>5.1000000000000004E-3</v>
      </c>
      <c r="G22" s="70">
        <v>5.6000000000000008E-3</v>
      </c>
      <c r="I22" s="191" t="str">
        <f>IF($I$11=$A$43,"Margem bruta da empresa de consultoria","Lucro")</f>
        <v>Lucro</v>
      </c>
      <c r="J22" s="192"/>
      <c r="K22" s="192"/>
      <c r="L22" s="193"/>
      <c r="M22" s="72" t="str">
        <f>IF($I$11=$A$43,"K3","L")</f>
        <v>L</v>
      </c>
      <c r="N22" s="73">
        <v>0.04</v>
      </c>
      <c r="O22" s="74">
        <f>VLOOKUP(CONCATENATE(I$11,"-",M22),$C$2:$G$34,3,FALSE)</f>
        <v>6.1600000000000002E-2</v>
      </c>
      <c r="P22" s="74">
        <f>VLOOKUP(CONCATENATE(I$11,"-",M22),$C$2:$G$34,4,FALSE)</f>
        <v>7.400000000000001E-2</v>
      </c>
      <c r="Q22" s="88">
        <f>VLOOKUP(CONCATENATE(I$11,"-",M22),$C$2:$G$34,5,FALSE)</f>
        <v>8.9600000000000013E-2</v>
      </c>
    </row>
    <row r="23" spans="1:17" ht="30.75" customHeight="1" x14ac:dyDescent="0.25">
      <c r="A23" s="67" t="str">
        <f>A22</f>
        <v>Construção e Manutenção de Estações e Redes de Distribuição de Energia Elétrica</v>
      </c>
      <c r="B23" s="69" t="s">
        <v>51</v>
      </c>
      <c r="C23" s="67" t="str">
        <f t="shared" si="0"/>
        <v>Construção e Manutenção de Estações e Redes de Distribuição de Energia Elétrica-R</v>
      </c>
      <c r="E23" s="70">
        <v>0.01</v>
      </c>
      <c r="F23" s="70">
        <v>1.4800000000000001E-2</v>
      </c>
      <c r="G23" s="70">
        <v>1.9699999999999999E-2</v>
      </c>
      <c r="I23" s="194" t="s">
        <v>72</v>
      </c>
      <c r="J23" s="195"/>
      <c r="K23" s="195"/>
      <c r="L23" s="195"/>
      <c r="M23" s="72" t="s">
        <v>73</v>
      </c>
      <c r="N23" s="73">
        <v>3.6499999999999998E-2</v>
      </c>
      <c r="O23" s="74">
        <v>3.6499999999999998E-2</v>
      </c>
      <c r="P23" s="74">
        <v>3.6499999999999998E-2</v>
      </c>
      <c r="Q23" s="88">
        <v>3.6499999999999998E-2</v>
      </c>
    </row>
    <row r="24" spans="1:17" ht="30.75" customHeight="1" x14ac:dyDescent="0.2">
      <c r="A24" s="67" t="str">
        <f>A23</f>
        <v>Construção e Manutenção de Estações e Redes de Distribuição de Energia Elétrica</v>
      </c>
      <c r="B24" s="69" t="s">
        <v>54</v>
      </c>
      <c r="C24" s="67" t="str">
        <f t="shared" si="0"/>
        <v>Construção e Manutenção de Estações e Redes de Distribuição de Energia Elétrica-DF</v>
      </c>
      <c r="E24" s="70">
        <v>1.01E-2</v>
      </c>
      <c r="F24" s="70">
        <v>1.0700000000000001E-2</v>
      </c>
      <c r="G24" s="70">
        <v>1.11E-2</v>
      </c>
      <c r="I24" s="196" t="s">
        <v>74</v>
      </c>
      <c r="J24" s="197"/>
      <c r="K24" s="197"/>
      <c r="L24" s="197"/>
      <c r="M24" s="72" t="s">
        <v>75</v>
      </c>
      <c r="N24" s="74">
        <f>IF(I11&lt;&gt;A42,P14*P13,0)</f>
        <v>0.03</v>
      </c>
      <c r="O24" s="74">
        <v>0</v>
      </c>
      <c r="P24" s="74">
        <v>2.5000000000000001E-2</v>
      </c>
      <c r="Q24" s="88">
        <v>0.05</v>
      </c>
    </row>
    <row r="25" spans="1:17" ht="47.25" customHeight="1" x14ac:dyDescent="0.2">
      <c r="A25" s="67" t="str">
        <f>A24</f>
        <v>Construção e Manutenção de Estações e Redes de Distribuição de Energia Elétrica</v>
      </c>
      <c r="B25" s="69" t="s">
        <v>55</v>
      </c>
      <c r="C25" s="67" t="str">
        <f t="shared" si="0"/>
        <v>Construção e Manutenção de Estações e Redes de Distribuição de Energia Elétrica-L</v>
      </c>
      <c r="E25" s="70">
        <v>0.08</v>
      </c>
      <c r="F25" s="70">
        <v>8.3100000000000007E-2</v>
      </c>
      <c r="G25" s="70">
        <v>9.5100000000000004E-2</v>
      </c>
      <c r="I25" s="196" t="s">
        <v>76</v>
      </c>
      <c r="J25" s="197"/>
      <c r="K25" s="197"/>
      <c r="L25" s="197"/>
      <c r="M25" s="72" t="s">
        <v>77</v>
      </c>
      <c r="N25" s="74">
        <f>IF(P11="Sim",4.5%,0%)</f>
        <v>4.4999999999999998E-2</v>
      </c>
      <c r="O25" s="75">
        <v>0</v>
      </c>
      <c r="P25" s="75">
        <v>4.4999999999999998E-2</v>
      </c>
      <c r="Q25" s="89">
        <v>4.4999999999999998E-2</v>
      </c>
    </row>
    <row r="26" spans="1:17" ht="30.75" customHeight="1" x14ac:dyDescent="0.2">
      <c r="A26" s="67" t="str">
        <f>A25</f>
        <v>Construção e Manutenção de Estações e Redes de Distribuição de Energia Elétrica</v>
      </c>
      <c r="B26" s="71" t="s">
        <v>56</v>
      </c>
      <c r="C26" s="67" t="str">
        <f t="shared" si="0"/>
        <v>Construção e Manutenção de Estações e Redes de Distribuição de Energia Elétrica-BDI PAD</v>
      </c>
      <c r="E26" s="70">
        <v>0.24</v>
      </c>
      <c r="F26" s="70">
        <v>0.25840000000000002</v>
      </c>
      <c r="G26" s="70">
        <v>0.27860000000000001</v>
      </c>
      <c r="I26" s="196" t="s">
        <v>78</v>
      </c>
      <c r="J26" s="197"/>
      <c r="K26" s="197"/>
      <c r="L26" s="197"/>
      <c r="M26" s="117" t="s">
        <v>56</v>
      </c>
      <c r="N26" s="74">
        <f>ROUND((((1+N18+N19+N20)*(1+N21)*(1+N22)/(1-(N23+N24)))-1),4)</f>
        <v>0.1789</v>
      </c>
      <c r="O26" s="74">
        <f>VLOOKUP(CONCATENATE($I$11,"-",$M26),$C$2:$G$34,3,FALSE)</f>
        <v>0.2034</v>
      </c>
      <c r="P26" s="74">
        <f>VLOOKUP(CONCATENATE($I$11,"-",$M26),$C$2:$G$34,4,FALSE)</f>
        <v>0.22120000000000001</v>
      </c>
      <c r="Q26" s="88">
        <f>VLOOKUP(CONCATENATE($I$11,"-",$M26),$C$2:$G$34,5,FALSE)</f>
        <v>0.25</v>
      </c>
    </row>
    <row r="27" spans="1:17" ht="30" customHeight="1" x14ac:dyDescent="0.2">
      <c r="A27" s="67" t="s">
        <v>79</v>
      </c>
      <c r="B27" s="69" t="s">
        <v>48</v>
      </c>
      <c r="C27" s="67" t="str">
        <f t="shared" si="0"/>
        <v>Obras Portuárias, Marítimas e Fluviais-AC</v>
      </c>
      <c r="E27" s="70">
        <v>0.04</v>
      </c>
      <c r="F27" s="70">
        <v>5.5199999999999999E-2</v>
      </c>
      <c r="G27" s="70">
        <v>7.85E-2</v>
      </c>
      <c r="I27" s="198" t="s">
        <v>80</v>
      </c>
      <c r="J27" s="199"/>
      <c r="K27" s="199"/>
      <c r="L27" s="199"/>
      <c r="M27" s="90" t="s">
        <v>81</v>
      </c>
      <c r="N27" s="91">
        <f>ROUND((((1+N18+N19+N20)*(1+N21)*(1+N22)/(1-(N23+N24+N25)))-1),4)</f>
        <v>0.23860000000000001</v>
      </c>
      <c r="O27" s="200"/>
      <c r="P27" s="200"/>
      <c r="Q27" s="201"/>
    </row>
    <row r="28" spans="1:17" ht="13.15" hidden="1" x14ac:dyDescent="0.25">
      <c r="A28" s="67" t="str">
        <f>A27</f>
        <v>Obras Portuárias, Marítimas e Fluviais</v>
      </c>
      <c r="B28" s="69" t="s">
        <v>50</v>
      </c>
      <c r="C28" s="67" t="str">
        <f t="shared" si="0"/>
        <v>Obras Portuárias, Marítimas e Fluviais-SG</v>
      </c>
      <c r="E28" s="70">
        <v>8.1000000000000013E-3</v>
      </c>
      <c r="F28" s="70">
        <v>1.2199999999999999E-2</v>
      </c>
      <c r="G28" s="70">
        <v>1.9900000000000001E-2</v>
      </c>
      <c r="I28" s="78"/>
      <c r="Q28" s="79"/>
    </row>
    <row r="29" spans="1:17" ht="27.75" customHeight="1" x14ac:dyDescent="0.2">
      <c r="A29" s="67" t="str">
        <f>A28</f>
        <v>Obras Portuárias, Marítimas e Fluviais</v>
      </c>
      <c r="B29" s="69" t="s">
        <v>51</v>
      </c>
      <c r="C29" s="67" t="str">
        <f t="shared" si="0"/>
        <v>Obras Portuárias, Marítimas e Fluviais-R</v>
      </c>
      <c r="E29" s="70">
        <v>1.46E-2</v>
      </c>
      <c r="F29" s="70">
        <v>2.3199999999999998E-2</v>
      </c>
      <c r="G29" s="70">
        <v>3.1600000000000003E-2</v>
      </c>
      <c r="I29" s="188" t="s">
        <v>82</v>
      </c>
      <c r="J29" s="189"/>
      <c r="K29" s="189"/>
      <c r="L29" s="189"/>
      <c r="M29" s="189"/>
      <c r="N29" s="189"/>
      <c r="O29" s="189"/>
      <c r="P29" s="189"/>
      <c r="Q29" s="190"/>
    </row>
    <row r="30" spans="1:17" ht="27.75" customHeight="1" x14ac:dyDescent="0.25">
      <c r="B30" s="69"/>
      <c r="E30" s="70"/>
      <c r="F30" s="70"/>
      <c r="G30" s="70"/>
      <c r="I30" s="114"/>
      <c r="J30" s="203" t="str">
        <f>IF(P11="Sim","BDI.DES =","BDI.PAD =")</f>
        <v>BDI.DES =</v>
      </c>
      <c r="K30" s="204" t="str">
        <f>IF($I$11=$A$43,"(1+K1+K2)*(1+K3)","(1+AC + S + R + G)*(1 + DF)*(1+L)")</f>
        <v>(1+AC + S + R + G)*(1 + DF)*(1+L)</v>
      </c>
      <c r="L30" s="204"/>
      <c r="M30" s="204"/>
      <c r="N30" s="204"/>
      <c r="O30" s="205" t="s">
        <v>83</v>
      </c>
      <c r="P30" s="115"/>
      <c r="Q30" s="116"/>
    </row>
    <row r="31" spans="1:17" ht="27.75" customHeight="1" x14ac:dyDescent="0.2">
      <c r="B31" s="69"/>
      <c r="E31" s="70"/>
      <c r="F31" s="70"/>
      <c r="G31" s="70"/>
      <c r="I31" s="114"/>
      <c r="J31" s="203"/>
      <c r="L31" s="92" t="str">
        <f>IF(P11="Sim","(1-CP-ISS-CRPB)","(1-CP-ISS)")</f>
        <v>(1-CP-ISS-CRPB)</v>
      </c>
      <c r="M31" s="92"/>
      <c r="N31" s="92"/>
      <c r="O31" s="206"/>
      <c r="P31" s="115"/>
      <c r="Q31" s="116"/>
    </row>
    <row r="32" spans="1:17" ht="20.100000000000001" customHeight="1" x14ac:dyDescent="0.25">
      <c r="A32" s="67" t="str">
        <f>A29</f>
        <v>Obras Portuárias, Marítimas e Fluviais</v>
      </c>
      <c r="B32" s="69" t="s">
        <v>54</v>
      </c>
      <c r="C32" s="67" t="str">
        <f t="shared" si="0"/>
        <v>Obras Portuárias, Marítimas e Fluviais-DF</v>
      </c>
      <c r="E32" s="70">
        <v>9.3999999999999986E-3</v>
      </c>
      <c r="F32" s="70">
        <v>1.0200000000000001E-2</v>
      </c>
      <c r="G32" s="70">
        <v>1.3300000000000001E-2</v>
      </c>
      <c r="I32" s="93"/>
      <c r="J32" s="94"/>
      <c r="K32" s="94"/>
      <c r="L32" s="94"/>
      <c r="M32" s="94"/>
      <c r="N32" s="94"/>
      <c r="O32" s="94"/>
      <c r="P32" s="94"/>
      <c r="Q32" s="95"/>
    </row>
    <row r="33" spans="1:17" ht="31.5" customHeight="1" x14ac:dyDescent="0.25">
      <c r="A33" s="67" t="str">
        <f>A32</f>
        <v>Obras Portuárias, Marítimas e Fluviais</v>
      </c>
      <c r="B33" s="69" t="s">
        <v>55</v>
      </c>
      <c r="C33" s="67" t="str">
        <f t="shared" si="0"/>
        <v>Obras Portuárias, Marítimas e Fluviais-L</v>
      </c>
      <c r="E33" s="70">
        <v>7.1399999999999991E-2</v>
      </c>
      <c r="F33" s="70">
        <v>8.4000000000000005E-2</v>
      </c>
      <c r="G33" s="70">
        <v>0.1043</v>
      </c>
      <c r="I33" s="207" t="str">
        <f>CONCATENATE("Declaro para os devidos fins que, conforme legislação tributária municipal, a base de cálculo para ",I11,", é de ",P13*100,"%, com a respectiva alíquota de ",P14*100,"%.")</f>
        <v>Declaro para os devidos fins que, conforme legislação tributária municipal, a base de cálculo para Construção e Reforma de Edifícios, é de 100%, com a respectiva alíquota de 3%.</v>
      </c>
      <c r="J33" s="208"/>
      <c r="K33" s="208"/>
      <c r="L33" s="208"/>
      <c r="M33" s="208"/>
      <c r="N33" s="208"/>
      <c r="O33" s="208"/>
      <c r="P33" s="208"/>
      <c r="Q33" s="209"/>
    </row>
    <row r="34" spans="1:17" ht="13.9" x14ac:dyDescent="0.25">
      <c r="A34" s="67" t="e">
        <f>#REF!</f>
        <v>#REF!</v>
      </c>
      <c r="B34" s="69" t="s">
        <v>84</v>
      </c>
      <c r="C34" s="67" t="e">
        <f t="shared" si="0"/>
        <v>#REF!</v>
      </c>
      <c r="E34" s="70" t="s">
        <v>85</v>
      </c>
      <c r="F34" s="70">
        <v>0.2</v>
      </c>
      <c r="G34" s="70" t="s">
        <v>85</v>
      </c>
      <c r="I34" s="78"/>
      <c r="M34" s="76"/>
      <c r="N34" s="76"/>
      <c r="O34" s="96"/>
      <c r="P34" s="96"/>
      <c r="Q34" s="97"/>
    </row>
    <row r="35" spans="1:17" ht="13.15" x14ac:dyDescent="0.25">
      <c r="I35" s="210"/>
      <c r="J35" s="211"/>
      <c r="K35" s="211"/>
      <c r="L35" s="211"/>
      <c r="Q35" s="79"/>
    </row>
    <row r="36" spans="1:17" ht="13.15" x14ac:dyDescent="0.25">
      <c r="I36" s="112" t="s">
        <v>86</v>
      </c>
      <c r="J36" s="202" t="str">
        <f>[1]DADOS!B52</f>
        <v>Flávio L. Greco S.</v>
      </c>
      <c r="K36" s="202"/>
      <c r="L36" s="202"/>
      <c r="Q36" s="79"/>
    </row>
    <row r="37" spans="1:17" x14ac:dyDescent="0.2">
      <c r="A37" s="67" t="s">
        <v>47</v>
      </c>
      <c r="I37" s="112" t="s">
        <v>87</v>
      </c>
      <c r="J37" s="202" t="str">
        <f>[1]DADOS!B53</f>
        <v>Engenheiro Civil</v>
      </c>
      <c r="K37" s="202"/>
      <c r="L37" s="202"/>
      <c r="Q37" s="79"/>
    </row>
    <row r="38" spans="1:17" x14ac:dyDescent="0.2">
      <c r="A38" s="67" t="s">
        <v>58</v>
      </c>
      <c r="I38" s="112" t="s">
        <v>88</v>
      </c>
      <c r="J38" s="202" t="str">
        <f>[1]DADOS!B54</f>
        <v>64.880/D</v>
      </c>
      <c r="K38" s="202"/>
      <c r="L38" s="202"/>
      <c r="Q38" s="79"/>
    </row>
    <row r="39" spans="1:17" ht="13.5" thickBot="1" x14ac:dyDescent="0.25">
      <c r="A39" s="67" t="s">
        <v>62</v>
      </c>
      <c r="I39" s="98"/>
      <c r="J39" s="99"/>
      <c r="K39" s="99"/>
      <c r="L39" s="99"/>
      <c r="M39" s="99"/>
      <c r="N39" s="99"/>
      <c r="O39" s="99"/>
      <c r="P39" s="99"/>
      <c r="Q39" s="100"/>
    </row>
    <row r="40" spans="1:17" x14ac:dyDescent="0.2">
      <c r="A40" s="67" t="s">
        <v>71</v>
      </c>
    </row>
    <row r="41" spans="1:17" x14ac:dyDescent="0.2">
      <c r="A41" s="67" t="s">
        <v>79</v>
      </c>
    </row>
    <row r="42" spans="1:17" ht="13.15" x14ac:dyDescent="0.25">
      <c r="A42" s="67" t="s">
        <v>89</v>
      </c>
    </row>
    <row r="43" spans="1:17" ht="13.15" x14ac:dyDescent="0.25">
      <c r="A43" s="67" t="s">
        <v>90</v>
      </c>
    </row>
    <row r="44" spans="1:17" ht="13.9" x14ac:dyDescent="0.25">
      <c r="A44" s="77"/>
      <c r="B44" s="76"/>
      <c r="C44" s="76"/>
      <c r="D44" s="76"/>
      <c r="E44" s="76"/>
      <c r="F44" s="76"/>
      <c r="G44" s="76"/>
    </row>
  </sheetData>
  <mergeCells count="39">
    <mergeCell ref="J37:L37"/>
    <mergeCell ref="J38:L38"/>
    <mergeCell ref="J30:J31"/>
    <mergeCell ref="K30:N30"/>
    <mergeCell ref="O30:O31"/>
    <mergeCell ref="I33:Q33"/>
    <mergeCell ref="I35:L35"/>
    <mergeCell ref="J36:L36"/>
    <mergeCell ref="I29:Q29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O27:Q27"/>
    <mergeCell ref="I14:O14"/>
    <mergeCell ref="P14:Q14"/>
    <mergeCell ref="I16:L17"/>
    <mergeCell ref="M16:M17"/>
    <mergeCell ref="N16:N17"/>
    <mergeCell ref="O16:Q16"/>
    <mergeCell ref="I13:O13"/>
    <mergeCell ref="P13:Q13"/>
    <mergeCell ref="P1:Q1"/>
    <mergeCell ref="P2:Q2"/>
    <mergeCell ref="I4:J4"/>
    <mergeCell ref="K4:Q4"/>
    <mergeCell ref="I5:Q5"/>
    <mergeCell ref="I7:Q7"/>
    <mergeCell ref="I8:Q8"/>
    <mergeCell ref="I10:O10"/>
    <mergeCell ref="P10:Q10"/>
    <mergeCell ref="I11:O11"/>
    <mergeCell ref="P11:Q11"/>
  </mergeCells>
  <conditionalFormatting sqref="I26:N26">
    <cfRule type="expression" dxfId="4" priority="3" stopIfTrue="1">
      <formula>$P$11="Não"</formula>
    </cfRule>
  </conditionalFormatting>
  <conditionalFormatting sqref="I27:N27">
    <cfRule type="expression" dxfId="3" priority="2" stopIfTrue="1">
      <formula>$P$11="sim"</formula>
    </cfRule>
  </conditionalFormatting>
  <conditionalFormatting sqref="I13:O13 I33:Q33">
    <cfRule type="expression" dxfId="2" priority="9" stopIfTrue="1">
      <formula>$I$11=$A$42</formula>
    </cfRule>
  </conditionalFormatting>
  <conditionalFormatting sqref="O27:Q27">
    <cfRule type="expression" dxfId="1" priority="1" stopIfTrue="1">
      <formula>$P$11="sim"</formula>
    </cfRule>
  </conditionalFormatting>
  <conditionalFormatting sqref="P13:Q14 I14:O14">
    <cfRule type="expression" dxfId="0" priority="11" stopIfTrue="1">
      <formula>$I$11=$A$42</formula>
    </cfRule>
  </conditionalFormatting>
  <dataValidations count="7">
    <dataValidation type="list" allowBlank="1" showInputMessage="1" showErrorMessage="1" sqref="I11:O11">
      <formula1>$A$37:$A$43</formula1>
    </dataValidation>
    <dataValidation type="list" allowBlank="1" showInputMessage="1" showErrorMessage="1" sqref="P11:Q11">
      <formula1>"Sim,Não"</formula1>
    </dataValidation>
    <dataValidation operator="greaterThanOrEqual" allowBlank="1" showInputMessage="1" showErrorMessage="1" errorTitle="Erro de valores" error="Digite um valor igual a 0% ou 2%." sqref="N25"/>
    <dataValidation type="decimal" allowBlank="1" showInputMessage="1" showErrorMessage="1" errorTitle="Erro de valores" error="Digite um valor maior do que 0." sqref="N24">
      <formula1>0</formula1>
      <formula2>1</formula2>
    </dataValidation>
    <dataValidation type="decimal" allowBlank="1" showInputMessage="1" showErrorMessage="1" errorTitle="Valor não permitido" error="Digite um percentual entre 0% e 100%." promptTitle="Valores admissíveis:" prompt="Insira valores entre 0 e 100%." sqref="P13:Q13">
      <formula1>0</formula1>
      <formula2>1</formula2>
    </dataValidation>
    <dataValidation type="decimal" operator="greaterThanOrEqual" allowBlank="1" showInputMessage="1" showErrorMessage="1" errorTitle="Valor não permitido" error="Digite um percentual entre 0% e 100%." promptTitle="Valores comuns:" prompt="Normalmente entre 2 e 5%." sqref="P14:Q14">
      <formula1>0</formula1>
    </dataValidation>
    <dataValidation type="decimal" allowBlank="1" showInputMessage="1" showErrorMessage="1" errorTitle="Erro de valores" error="Digite um valor entre 0% e 100%" sqref="N18:N23">
      <formula1>0</formula1>
      <formula2>1</formula2>
    </dataValidation>
  </dataValidations>
  <pageMargins left="1.2598425196850394" right="0.51181102362204722" top="3.1496062992125986" bottom="0.98425196850393704" header="0.31496062992125984" footer="0.31496062992125984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view="pageBreakPreview" zoomScaleNormal="100" zoomScaleSheetLayoutView="100" workbookViewId="0">
      <selection activeCell="G13" sqref="G13"/>
    </sheetView>
  </sheetViews>
  <sheetFormatPr defaultColWidth="10.28515625" defaultRowHeight="14.25" x14ac:dyDescent="0.25"/>
  <cols>
    <col min="1" max="1" width="6.140625" style="36" customWidth="1"/>
    <col min="2" max="2" width="23.140625" style="36" customWidth="1"/>
    <col min="3" max="3" width="9.7109375" style="37" customWidth="1"/>
    <col min="4" max="4" width="11.28515625" style="37" customWidth="1"/>
    <col min="5" max="16" width="9.85546875" style="36" customWidth="1"/>
    <col min="17" max="17" width="11.5703125" style="36" customWidth="1"/>
    <col min="18" max="262" width="9.140625" style="36" customWidth="1"/>
    <col min="263" max="263" width="10.5703125" style="36" customWidth="1"/>
    <col min="264" max="264" width="10.28515625" style="36"/>
    <col min="265" max="265" width="6.140625" style="36" customWidth="1"/>
    <col min="266" max="266" width="0" style="36" hidden="1" customWidth="1"/>
    <col min="267" max="267" width="42.7109375" style="36" customWidth="1"/>
    <col min="268" max="268" width="14.28515625" style="36" customWidth="1"/>
    <col min="269" max="269" width="16.85546875" style="36" customWidth="1"/>
    <col min="270" max="270" width="17.5703125" style="36" customWidth="1"/>
    <col min="271" max="271" width="16" style="36" customWidth="1"/>
    <col min="272" max="272" width="15.7109375" style="36" customWidth="1"/>
    <col min="273" max="273" width="16.140625" style="36" customWidth="1"/>
    <col min="274" max="518" width="9.140625" style="36" customWidth="1"/>
    <col min="519" max="519" width="10.5703125" style="36" customWidth="1"/>
    <col min="520" max="520" width="10.28515625" style="36"/>
    <col min="521" max="521" width="6.140625" style="36" customWidth="1"/>
    <col min="522" max="522" width="0" style="36" hidden="1" customWidth="1"/>
    <col min="523" max="523" width="42.7109375" style="36" customWidth="1"/>
    <col min="524" max="524" width="14.28515625" style="36" customWidth="1"/>
    <col min="525" max="525" width="16.85546875" style="36" customWidth="1"/>
    <col min="526" max="526" width="17.5703125" style="36" customWidth="1"/>
    <col min="527" max="527" width="16" style="36" customWidth="1"/>
    <col min="528" max="528" width="15.7109375" style="36" customWidth="1"/>
    <col min="529" max="529" width="16.140625" style="36" customWidth="1"/>
    <col min="530" max="774" width="9.140625" style="36" customWidth="1"/>
    <col min="775" max="775" width="10.5703125" style="36" customWidth="1"/>
    <col min="776" max="776" width="10.28515625" style="36"/>
    <col min="777" max="777" width="6.140625" style="36" customWidth="1"/>
    <col min="778" max="778" width="0" style="36" hidden="1" customWidth="1"/>
    <col min="779" max="779" width="42.7109375" style="36" customWidth="1"/>
    <col min="780" max="780" width="14.28515625" style="36" customWidth="1"/>
    <col min="781" max="781" width="16.85546875" style="36" customWidth="1"/>
    <col min="782" max="782" width="17.5703125" style="36" customWidth="1"/>
    <col min="783" max="783" width="16" style="36" customWidth="1"/>
    <col min="784" max="784" width="15.7109375" style="36" customWidth="1"/>
    <col min="785" max="785" width="16.140625" style="36" customWidth="1"/>
    <col min="786" max="1030" width="9.140625" style="36" customWidth="1"/>
    <col min="1031" max="1031" width="10.5703125" style="36" customWidth="1"/>
    <col min="1032" max="1032" width="10.28515625" style="36"/>
    <col min="1033" max="1033" width="6.140625" style="36" customWidth="1"/>
    <col min="1034" max="1034" width="0" style="36" hidden="1" customWidth="1"/>
    <col min="1035" max="1035" width="42.7109375" style="36" customWidth="1"/>
    <col min="1036" max="1036" width="14.28515625" style="36" customWidth="1"/>
    <col min="1037" max="1037" width="16.85546875" style="36" customWidth="1"/>
    <col min="1038" max="1038" width="17.5703125" style="36" customWidth="1"/>
    <col min="1039" max="1039" width="16" style="36" customWidth="1"/>
    <col min="1040" max="1040" width="15.7109375" style="36" customWidth="1"/>
    <col min="1041" max="1041" width="16.140625" style="36" customWidth="1"/>
    <col min="1042" max="1286" width="9.140625" style="36" customWidth="1"/>
    <col min="1287" max="1287" width="10.5703125" style="36" customWidth="1"/>
    <col min="1288" max="1288" width="10.28515625" style="36"/>
    <col min="1289" max="1289" width="6.140625" style="36" customWidth="1"/>
    <col min="1290" max="1290" width="0" style="36" hidden="1" customWidth="1"/>
    <col min="1291" max="1291" width="42.7109375" style="36" customWidth="1"/>
    <col min="1292" max="1292" width="14.28515625" style="36" customWidth="1"/>
    <col min="1293" max="1293" width="16.85546875" style="36" customWidth="1"/>
    <col min="1294" max="1294" width="17.5703125" style="36" customWidth="1"/>
    <col min="1295" max="1295" width="16" style="36" customWidth="1"/>
    <col min="1296" max="1296" width="15.7109375" style="36" customWidth="1"/>
    <col min="1297" max="1297" width="16.140625" style="36" customWidth="1"/>
    <col min="1298" max="1542" width="9.140625" style="36" customWidth="1"/>
    <col min="1543" max="1543" width="10.5703125" style="36" customWidth="1"/>
    <col min="1544" max="1544" width="10.28515625" style="36"/>
    <col min="1545" max="1545" width="6.140625" style="36" customWidth="1"/>
    <col min="1546" max="1546" width="0" style="36" hidden="1" customWidth="1"/>
    <col min="1547" max="1547" width="42.7109375" style="36" customWidth="1"/>
    <col min="1548" max="1548" width="14.28515625" style="36" customWidth="1"/>
    <col min="1549" max="1549" width="16.85546875" style="36" customWidth="1"/>
    <col min="1550" max="1550" width="17.5703125" style="36" customWidth="1"/>
    <col min="1551" max="1551" width="16" style="36" customWidth="1"/>
    <col min="1552" max="1552" width="15.7109375" style="36" customWidth="1"/>
    <col min="1553" max="1553" width="16.140625" style="36" customWidth="1"/>
    <col min="1554" max="1798" width="9.140625" style="36" customWidth="1"/>
    <col min="1799" max="1799" width="10.5703125" style="36" customWidth="1"/>
    <col min="1800" max="1800" width="10.28515625" style="36"/>
    <col min="1801" max="1801" width="6.140625" style="36" customWidth="1"/>
    <col min="1802" max="1802" width="0" style="36" hidden="1" customWidth="1"/>
    <col min="1803" max="1803" width="42.7109375" style="36" customWidth="1"/>
    <col min="1804" max="1804" width="14.28515625" style="36" customWidth="1"/>
    <col min="1805" max="1805" width="16.85546875" style="36" customWidth="1"/>
    <col min="1806" max="1806" width="17.5703125" style="36" customWidth="1"/>
    <col min="1807" max="1807" width="16" style="36" customWidth="1"/>
    <col min="1808" max="1808" width="15.7109375" style="36" customWidth="1"/>
    <col min="1809" max="1809" width="16.140625" style="36" customWidth="1"/>
    <col min="1810" max="2054" width="9.140625" style="36" customWidth="1"/>
    <col min="2055" max="2055" width="10.5703125" style="36" customWidth="1"/>
    <col min="2056" max="2056" width="10.28515625" style="36"/>
    <col min="2057" max="2057" width="6.140625" style="36" customWidth="1"/>
    <col min="2058" max="2058" width="0" style="36" hidden="1" customWidth="1"/>
    <col min="2059" max="2059" width="42.7109375" style="36" customWidth="1"/>
    <col min="2060" max="2060" width="14.28515625" style="36" customWidth="1"/>
    <col min="2061" max="2061" width="16.85546875" style="36" customWidth="1"/>
    <col min="2062" max="2062" width="17.5703125" style="36" customWidth="1"/>
    <col min="2063" max="2063" width="16" style="36" customWidth="1"/>
    <col min="2064" max="2064" width="15.7109375" style="36" customWidth="1"/>
    <col min="2065" max="2065" width="16.140625" style="36" customWidth="1"/>
    <col min="2066" max="2310" width="9.140625" style="36" customWidth="1"/>
    <col min="2311" max="2311" width="10.5703125" style="36" customWidth="1"/>
    <col min="2312" max="2312" width="10.28515625" style="36"/>
    <col min="2313" max="2313" width="6.140625" style="36" customWidth="1"/>
    <col min="2314" max="2314" width="0" style="36" hidden="1" customWidth="1"/>
    <col min="2315" max="2315" width="42.7109375" style="36" customWidth="1"/>
    <col min="2316" max="2316" width="14.28515625" style="36" customWidth="1"/>
    <col min="2317" max="2317" width="16.85546875" style="36" customWidth="1"/>
    <col min="2318" max="2318" width="17.5703125" style="36" customWidth="1"/>
    <col min="2319" max="2319" width="16" style="36" customWidth="1"/>
    <col min="2320" max="2320" width="15.7109375" style="36" customWidth="1"/>
    <col min="2321" max="2321" width="16.140625" style="36" customWidth="1"/>
    <col min="2322" max="2566" width="9.140625" style="36" customWidth="1"/>
    <col min="2567" max="2567" width="10.5703125" style="36" customWidth="1"/>
    <col min="2568" max="2568" width="10.28515625" style="36"/>
    <col min="2569" max="2569" width="6.140625" style="36" customWidth="1"/>
    <col min="2570" max="2570" width="0" style="36" hidden="1" customWidth="1"/>
    <col min="2571" max="2571" width="42.7109375" style="36" customWidth="1"/>
    <col min="2572" max="2572" width="14.28515625" style="36" customWidth="1"/>
    <col min="2573" max="2573" width="16.85546875" style="36" customWidth="1"/>
    <col min="2574" max="2574" width="17.5703125" style="36" customWidth="1"/>
    <col min="2575" max="2575" width="16" style="36" customWidth="1"/>
    <col min="2576" max="2576" width="15.7109375" style="36" customWidth="1"/>
    <col min="2577" max="2577" width="16.140625" style="36" customWidth="1"/>
    <col min="2578" max="2822" width="9.140625" style="36" customWidth="1"/>
    <col min="2823" max="2823" width="10.5703125" style="36" customWidth="1"/>
    <col min="2824" max="2824" width="10.28515625" style="36"/>
    <col min="2825" max="2825" width="6.140625" style="36" customWidth="1"/>
    <col min="2826" max="2826" width="0" style="36" hidden="1" customWidth="1"/>
    <col min="2827" max="2827" width="42.7109375" style="36" customWidth="1"/>
    <col min="2828" max="2828" width="14.28515625" style="36" customWidth="1"/>
    <col min="2829" max="2829" width="16.85546875" style="36" customWidth="1"/>
    <col min="2830" max="2830" width="17.5703125" style="36" customWidth="1"/>
    <col min="2831" max="2831" width="16" style="36" customWidth="1"/>
    <col min="2832" max="2832" width="15.7109375" style="36" customWidth="1"/>
    <col min="2833" max="2833" width="16.140625" style="36" customWidth="1"/>
    <col min="2834" max="3078" width="9.140625" style="36" customWidth="1"/>
    <col min="3079" max="3079" width="10.5703125" style="36" customWidth="1"/>
    <col min="3080" max="3080" width="10.28515625" style="36"/>
    <col min="3081" max="3081" width="6.140625" style="36" customWidth="1"/>
    <col min="3082" max="3082" width="0" style="36" hidden="1" customWidth="1"/>
    <col min="3083" max="3083" width="42.7109375" style="36" customWidth="1"/>
    <col min="3084" max="3084" width="14.28515625" style="36" customWidth="1"/>
    <col min="3085" max="3085" width="16.85546875" style="36" customWidth="1"/>
    <col min="3086" max="3086" width="17.5703125" style="36" customWidth="1"/>
    <col min="3087" max="3087" width="16" style="36" customWidth="1"/>
    <col min="3088" max="3088" width="15.7109375" style="36" customWidth="1"/>
    <col min="3089" max="3089" width="16.140625" style="36" customWidth="1"/>
    <col min="3090" max="3334" width="9.140625" style="36" customWidth="1"/>
    <col min="3335" max="3335" width="10.5703125" style="36" customWidth="1"/>
    <col min="3336" max="3336" width="10.28515625" style="36"/>
    <col min="3337" max="3337" width="6.140625" style="36" customWidth="1"/>
    <col min="3338" max="3338" width="0" style="36" hidden="1" customWidth="1"/>
    <col min="3339" max="3339" width="42.7109375" style="36" customWidth="1"/>
    <col min="3340" max="3340" width="14.28515625" style="36" customWidth="1"/>
    <col min="3341" max="3341" width="16.85546875" style="36" customWidth="1"/>
    <col min="3342" max="3342" width="17.5703125" style="36" customWidth="1"/>
    <col min="3343" max="3343" width="16" style="36" customWidth="1"/>
    <col min="3344" max="3344" width="15.7109375" style="36" customWidth="1"/>
    <col min="3345" max="3345" width="16.140625" style="36" customWidth="1"/>
    <col min="3346" max="3590" width="9.140625" style="36" customWidth="1"/>
    <col min="3591" max="3591" width="10.5703125" style="36" customWidth="1"/>
    <col min="3592" max="3592" width="10.28515625" style="36"/>
    <col min="3593" max="3593" width="6.140625" style="36" customWidth="1"/>
    <col min="3594" max="3594" width="0" style="36" hidden="1" customWidth="1"/>
    <col min="3595" max="3595" width="42.7109375" style="36" customWidth="1"/>
    <col min="3596" max="3596" width="14.28515625" style="36" customWidth="1"/>
    <col min="3597" max="3597" width="16.85546875" style="36" customWidth="1"/>
    <col min="3598" max="3598" width="17.5703125" style="36" customWidth="1"/>
    <col min="3599" max="3599" width="16" style="36" customWidth="1"/>
    <col min="3600" max="3600" width="15.7109375" style="36" customWidth="1"/>
    <col min="3601" max="3601" width="16.140625" style="36" customWidth="1"/>
    <col min="3602" max="3846" width="9.140625" style="36" customWidth="1"/>
    <col min="3847" max="3847" width="10.5703125" style="36" customWidth="1"/>
    <col min="3848" max="3848" width="10.28515625" style="36"/>
    <col min="3849" max="3849" width="6.140625" style="36" customWidth="1"/>
    <col min="3850" max="3850" width="0" style="36" hidden="1" customWidth="1"/>
    <col min="3851" max="3851" width="42.7109375" style="36" customWidth="1"/>
    <col min="3852" max="3852" width="14.28515625" style="36" customWidth="1"/>
    <col min="3853" max="3853" width="16.85546875" style="36" customWidth="1"/>
    <col min="3854" max="3854" width="17.5703125" style="36" customWidth="1"/>
    <col min="3855" max="3855" width="16" style="36" customWidth="1"/>
    <col min="3856" max="3856" width="15.7109375" style="36" customWidth="1"/>
    <col min="3857" max="3857" width="16.140625" style="36" customWidth="1"/>
    <col min="3858" max="4102" width="9.140625" style="36" customWidth="1"/>
    <col min="4103" max="4103" width="10.5703125" style="36" customWidth="1"/>
    <col min="4104" max="4104" width="10.28515625" style="36"/>
    <col min="4105" max="4105" width="6.140625" style="36" customWidth="1"/>
    <col min="4106" max="4106" width="0" style="36" hidden="1" customWidth="1"/>
    <col min="4107" max="4107" width="42.7109375" style="36" customWidth="1"/>
    <col min="4108" max="4108" width="14.28515625" style="36" customWidth="1"/>
    <col min="4109" max="4109" width="16.85546875" style="36" customWidth="1"/>
    <col min="4110" max="4110" width="17.5703125" style="36" customWidth="1"/>
    <col min="4111" max="4111" width="16" style="36" customWidth="1"/>
    <col min="4112" max="4112" width="15.7109375" style="36" customWidth="1"/>
    <col min="4113" max="4113" width="16.140625" style="36" customWidth="1"/>
    <col min="4114" max="4358" width="9.140625" style="36" customWidth="1"/>
    <col min="4359" max="4359" width="10.5703125" style="36" customWidth="1"/>
    <col min="4360" max="4360" width="10.28515625" style="36"/>
    <col min="4361" max="4361" width="6.140625" style="36" customWidth="1"/>
    <col min="4362" max="4362" width="0" style="36" hidden="1" customWidth="1"/>
    <col min="4363" max="4363" width="42.7109375" style="36" customWidth="1"/>
    <col min="4364" max="4364" width="14.28515625" style="36" customWidth="1"/>
    <col min="4365" max="4365" width="16.85546875" style="36" customWidth="1"/>
    <col min="4366" max="4366" width="17.5703125" style="36" customWidth="1"/>
    <col min="4367" max="4367" width="16" style="36" customWidth="1"/>
    <col min="4368" max="4368" width="15.7109375" style="36" customWidth="1"/>
    <col min="4369" max="4369" width="16.140625" style="36" customWidth="1"/>
    <col min="4370" max="4614" width="9.140625" style="36" customWidth="1"/>
    <col min="4615" max="4615" width="10.5703125" style="36" customWidth="1"/>
    <col min="4616" max="4616" width="10.28515625" style="36"/>
    <col min="4617" max="4617" width="6.140625" style="36" customWidth="1"/>
    <col min="4618" max="4618" width="0" style="36" hidden="1" customWidth="1"/>
    <col min="4619" max="4619" width="42.7109375" style="36" customWidth="1"/>
    <col min="4620" max="4620" width="14.28515625" style="36" customWidth="1"/>
    <col min="4621" max="4621" width="16.85546875" style="36" customWidth="1"/>
    <col min="4622" max="4622" width="17.5703125" style="36" customWidth="1"/>
    <col min="4623" max="4623" width="16" style="36" customWidth="1"/>
    <col min="4624" max="4624" width="15.7109375" style="36" customWidth="1"/>
    <col min="4625" max="4625" width="16.140625" style="36" customWidth="1"/>
    <col min="4626" max="4870" width="9.140625" style="36" customWidth="1"/>
    <col min="4871" max="4871" width="10.5703125" style="36" customWidth="1"/>
    <col min="4872" max="4872" width="10.28515625" style="36"/>
    <col min="4873" max="4873" width="6.140625" style="36" customWidth="1"/>
    <col min="4874" max="4874" width="0" style="36" hidden="1" customWidth="1"/>
    <col min="4875" max="4875" width="42.7109375" style="36" customWidth="1"/>
    <col min="4876" max="4876" width="14.28515625" style="36" customWidth="1"/>
    <col min="4877" max="4877" width="16.85546875" style="36" customWidth="1"/>
    <col min="4878" max="4878" width="17.5703125" style="36" customWidth="1"/>
    <col min="4879" max="4879" width="16" style="36" customWidth="1"/>
    <col min="4880" max="4880" width="15.7109375" style="36" customWidth="1"/>
    <col min="4881" max="4881" width="16.140625" style="36" customWidth="1"/>
    <col min="4882" max="5126" width="9.140625" style="36" customWidth="1"/>
    <col min="5127" max="5127" width="10.5703125" style="36" customWidth="1"/>
    <col min="5128" max="5128" width="10.28515625" style="36"/>
    <col min="5129" max="5129" width="6.140625" style="36" customWidth="1"/>
    <col min="5130" max="5130" width="0" style="36" hidden="1" customWidth="1"/>
    <col min="5131" max="5131" width="42.7109375" style="36" customWidth="1"/>
    <col min="5132" max="5132" width="14.28515625" style="36" customWidth="1"/>
    <col min="5133" max="5133" width="16.85546875" style="36" customWidth="1"/>
    <col min="5134" max="5134" width="17.5703125" style="36" customWidth="1"/>
    <col min="5135" max="5135" width="16" style="36" customWidth="1"/>
    <col min="5136" max="5136" width="15.7109375" style="36" customWidth="1"/>
    <col min="5137" max="5137" width="16.140625" style="36" customWidth="1"/>
    <col min="5138" max="5382" width="9.140625" style="36" customWidth="1"/>
    <col min="5383" max="5383" width="10.5703125" style="36" customWidth="1"/>
    <col min="5384" max="5384" width="10.28515625" style="36"/>
    <col min="5385" max="5385" width="6.140625" style="36" customWidth="1"/>
    <col min="5386" max="5386" width="0" style="36" hidden="1" customWidth="1"/>
    <col min="5387" max="5387" width="42.7109375" style="36" customWidth="1"/>
    <col min="5388" max="5388" width="14.28515625" style="36" customWidth="1"/>
    <col min="5389" max="5389" width="16.85546875" style="36" customWidth="1"/>
    <col min="5390" max="5390" width="17.5703125" style="36" customWidth="1"/>
    <col min="5391" max="5391" width="16" style="36" customWidth="1"/>
    <col min="5392" max="5392" width="15.7109375" style="36" customWidth="1"/>
    <col min="5393" max="5393" width="16.140625" style="36" customWidth="1"/>
    <col min="5394" max="5638" width="9.140625" style="36" customWidth="1"/>
    <col min="5639" max="5639" width="10.5703125" style="36" customWidth="1"/>
    <col min="5640" max="5640" width="10.28515625" style="36"/>
    <col min="5641" max="5641" width="6.140625" style="36" customWidth="1"/>
    <col min="5642" max="5642" width="0" style="36" hidden="1" customWidth="1"/>
    <col min="5643" max="5643" width="42.7109375" style="36" customWidth="1"/>
    <col min="5644" max="5644" width="14.28515625" style="36" customWidth="1"/>
    <col min="5645" max="5645" width="16.85546875" style="36" customWidth="1"/>
    <col min="5646" max="5646" width="17.5703125" style="36" customWidth="1"/>
    <col min="5647" max="5647" width="16" style="36" customWidth="1"/>
    <col min="5648" max="5648" width="15.7109375" style="36" customWidth="1"/>
    <col min="5649" max="5649" width="16.140625" style="36" customWidth="1"/>
    <col min="5650" max="5894" width="9.140625" style="36" customWidth="1"/>
    <col min="5895" max="5895" width="10.5703125" style="36" customWidth="1"/>
    <col min="5896" max="5896" width="10.28515625" style="36"/>
    <col min="5897" max="5897" width="6.140625" style="36" customWidth="1"/>
    <col min="5898" max="5898" width="0" style="36" hidden="1" customWidth="1"/>
    <col min="5899" max="5899" width="42.7109375" style="36" customWidth="1"/>
    <col min="5900" max="5900" width="14.28515625" style="36" customWidth="1"/>
    <col min="5901" max="5901" width="16.85546875" style="36" customWidth="1"/>
    <col min="5902" max="5902" width="17.5703125" style="36" customWidth="1"/>
    <col min="5903" max="5903" width="16" style="36" customWidth="1"/>
    <col min="5904" max="5904" width="15.7109375" style="36" customWidth="1"/>
    <col min="5905" max="5905" width="16.140625" style="36" customWidth="1"/>
    <col min="5906" max="6150" width="9.140625" style="36" customWidth="1"/>
    <col min="6151" max="6151" width="10.5703125" style="36" customWidth="1"/>
    <col min="6152" max="6152" width="10.28515625" style="36"/>
    <col min="6153" max="6153" width="6.140625" style="36" customWidth="1"/>
    <col min="6154" max="6154" width="0" style="36" hidden="1" customWidth="1"/>
    <col min="6155" max="6155" width="42.7109375" style="36" customWidth="1"/>
    <col min="6156" max="6156" width="14.28515625" style="36" customWidth="1"/>
    <col min="6157" max="6157" width="16.85546875" style="36" customWidth="1"/>
    <col min="6158" max="6158" width="17.5703125" style="36" customWidth="1"/>
    <col min="6159" max="6159" width="16" style="36" customWidth="1"/>
    <col min="6160" max="6160" width="15.7109375" style="36" customWidth="1"/>
    <col min="6161" max="6161" width="16.140625" style="36" customWidth="1"/>
    <col min="6162" max="6406" width="9.140625" style="36" customWidth="1"/>
    <col min="6407" max="6407" width="10.5703125" style="36" customWidth="1"/>
    <col min="6408" max="6408" width="10.28515625" style="36"/>
    <col min="6409" max="6409" width="6.140625" style="36" customWidth="1"/>
    <col min="6410" max="6410" width="0" style="36" hidden="1" customWidth="1"/>
    <col min="6411" max="6411" width="42.7109375" style="36" customWidth="1"/>
    <col min="6412" max="6412" width="14.28515625" style="36" customWidth="1"/>
    <col min="6413" max="6413" width="16.85546875" style="36" customWidth="1"/>
    <col min="6414" max="6414" width="17.5703125" style="36" customWidth="1"/>
    <col min="6415" max="6415" width="16" style="36" customWidth="1"/>
    <col min="6416" max="6416" width="15.7109375" style="36" customWidth="1"/>
    <col min="6417" max="6417" width="16.140625" style="36" customWidth="1"/>
    <col min="6418" max="6662" width="9.140625" style="36" customWidth="1"/>
    <col min="6663" max="6663" width="10.5703125" style="36" customWidth="1"/>
    <col min="6664" max="6664" width="10.28515625" style="36"/>
    <col min="6665" max="6665" width="6.140625" style="36" customWidth="1"/>
    <col min="6666" max="6666" width="0" style="36" hidden="1" customWidth="1"/>
    <col min="6667" max="6667" width="42.7109375" style="36" customWidth="1"/>
    <col min="6668" max="6668" width="14.28515625" style="36" customWidth="1"/>
    <col min="6669" max="6669" width="16.85546875" style="36" customWidth="1"/>
    <col min="6670" max="6670" width="17.5703125" style="36" customWidth="1"/>
    <col min="6671" max="6671" width="16" style="36" customWidth="1"/>
    <col min="6672" max="6672" width="15.7109375" style="36" customWidth="1"/>
    <col min="6673" max="6673" width="16.140625" style="36" customWidth="1"/>
    <col min="6674" max="6918" width="9.140625" style="36" customWidth="1"/>
    <col min="6919" max="6919" width="10.5703125" style="36" customWidth="1"/>
    <col min="6920" max="6920" width="10.28515625" style="36"/>
    <col min="6921" max="6921" width="6.140625" style="36" customWidth="1"/>
    <col min="6922" max="6922" width="0" style="36" hidden="1" customWidth="1"/>
    <col min="6923" max="6923" width="42.7109375" style="36" customWidth="1"/>
    <col min="6924" max="6924" width="14.28515625" style="36" customWidth="1"/>
    <col min="6925" max="6925" width="16.85546875" style="36" customWidth="1"/>
    <col min="6926" max="6926" width="17.5703125" style="36" customWidth="1"/>
    <col min="6927" max="6927" width="16" style="36" customWidth="1"/>
    <col min="6928" max="6928" width="15.7109375" style="36" customWidth="1"/>
    <col min="6929" max="6929" width="16.140625" style="36" customWidth="1"/>
    <col min="6930" max="7174" width="9.140625" style="36" customWidth="1"/>
    <col min="7175" max="7175" width="10.5703125" style="36" customWidth="1"/>
    <col min="7176" max="7176" width="10.28515625" style="36"/>
    <col min="7177" max="7177" width="6.140625" style="36" customWidth="1"/>
    <col min="7178" max="7178" width="0" style="36" hidden="1" customWidth="1"/>
    <col min="7179" max="7179" width="42.7109375" style="36" customWidth="1"/>
    <col min="7180" max="7180" width="14.28515625" style="36" customWidth="1"/>
    <col min="7181" max="7181" width="16.85546875" style="36" customWidth="1"/>
    <col min="7182" max="7182" width="17.5703125" style="36" customWidth="1"/>
    <col min="7183" max="7183" width="16" style="36" customWidth="1"/>
    <col min="7184" max="7184" width="15.7109375" style="36" customWidth="1"/>
    <col min="7185" max="7185" width="16.140625" style="36" customWidth="1"/>
    <col min="7186" max="7430" width="9.140625" style="36" customWidth="1"/>
    <col min="7431" max="7431" width="10.5703125" style="36" customWidth="1"/>
    <col min="7432" max="7432" width="10.28515625" style="36"/>
    <col min="7433" max="7433" width="6.140625" style="36" customWidth="1"/>
    <col min="7434" max="7434" width="0" style="36" hidden="1" customWidth="1"/>
    <col min="7435" max="7435" width="42.7109375" style="36" customWidth="1"/>
    <col min="7436" max="7436" width="14.28515625" style="36" customWidth="1"/>
    <col min="7437" max="7437" width="16.85546875" style="36" customWidth="1"/>
    <col min="7438" max="7438" width="17.5703125" style="36" customWidth="1"/>
    <col min="7439" max="7439" width="16" style="36" customWidth="1"/>
    <col min="7440" max="7440" width="15.7109375" style="36" customWidth="1"/>
    <col min="7441" max="7441" width="16.140625" style="36" customWidth="1"/>
    <col min="7442" max="7686" width="9.140625" style="36" customWidth="1"/>
    <col min="7687" max="7687" width="10.5703125" style="36" customWidth="1"/>
    <col min="7688" max="7688" width="10.28515625" style="36"/>
    <col min="7689" max="7689" width="6.140625" style="36" customWidth="1"/>
    <col min="7690" max="7690" width="0" style="36" hidden="1" customWidth="1"/>
    <col min="7691" max="7691" width="42.7109375" style="36" customWidth="1"/>
    <col min="7692" max="7692" width="14.28515625" style="36" customWidth="1"/>
    <col min="7693" max="7693" width="16.85546875" style="36" customWidth="1"/>
    <col min="7694" max="7694" width="17.5703125" style="36" customWidth="1"/>
    <col min="7695" max="7695" width="16" style="36" customWidth="1"/>
    <col min="7696" max="7696" width="15.7109375" style="36" customWidth="1"/>
    <col min="7697" max="7697" width="16.140625" style="36" customWidth="1"/>
    <col min="7698" max="7942" width="9.140625" style="36" customWidth="1"/>
    <col min="7943" max="7943" width="10.5703125" style="36" customWidth="1"/>
    <col min="7944" max="7944" width="10.28515625" style="36"/>
    <col min="7945" max="7945" width="6.140625" style="36" customWidth="1"/>
    <col min="7946" max="7946" width="0" style="36" hidden="1" customWidth="1"/>
    <col min="7947" max="7947" width="42.7109375" style="36" customWidth="1"/>
    <col min="7948" max="7948" width="14.28515625" style="36" customWidth="1"/>
    <col min="7949" max="7949" width="16.85546875" style="36" customWidth="1"/>
    <col min="7950" max="7950" width="17.5703125" style="36" customWidth="1"/>
    <col min="7951" max="7951" width="16" style="36" customWidth="1"/>
    <col min="7952" max="7952" width="15.7109375" style="36" customWidth="1"/>
    <col min="7953" max="7953" width="16.140625" style="36" customWidth="1"/>
    <col min="7954" max="8198" width="9.140625" style="36" customWidth="1"/>
    <col min="8199" max="8199" width="10.5703125" style="36" customWidth="1"/>
    <col min="8200" max="8200" width="10.28515625" style="36"/>
    <col min="8201" max="8201" width="6.140625" style="36" customWidth="1"/>
    <col min="8202" max="8202" width="0" style="36" hidden="1" customWidth="1"/>
    <col min="8203" max="8203" width="42.7109375" style="36" customWidth="1"/>
    <col min="8204" max="8204" width="14.28515625" style="36" customWidth="1"/>
    <col min="8205" max="8205" width="16.85546875" style="36" customWidth="1"/>
    <col min="8206" max="8206" width="17.5703125" style="36" customWidth="1"/>
    <col min="8207" max="8207" width="16" style="36" customWidth="1"/>
    <col min="8208" max="8208" width="15.7109375" style="36" customWidth="1"/>
    <col min="8209" max="8209" width="16.140625" style="36" customWidth="1"/>
    <col min="8210" max="8454" width="9.140625" style="36" customWidth="1"/>
    <col min="8455" max="8455" width="10.5703125" style="36" customWidth="1"/>
    <col min="8456" max="8456" width="10.28515625" style="36"/>
    <col min="8457" max="8457" width="6.140625" style="36" customWidth="1"/>
    <col min="8458" max="8458" width="0" style="36" hidden="1" customWidth="1"/>
    <col min="8459" max="8459" width="42.7109375" style="36" customWidth="1"/>
    <col min="8460" max="8460" width="14.28515625" style="36" customWidth="1"/>
    <col min="8461" max="8461" width="16.85546875" style="36" customWidth="1"/>
    <col min="8462" max="8462" width="17.5703125" style="36" customWidth="1"/>
    <col min="8463" max="8463" width="16" style="36" customWidth="1"/>
    <col min="8464" max="8464" width="15.7109375" style="36" customWidth="1"/>
    <col min="8465" max="8465" width="16.140625" style="36" customWidth="1"/>
    <col min="8466" max="8710" width="9.140625" style="36" customWidth="1"/>
    <col min="8711" max="8711" width="10.5703125" style="36" customWidth="1"/>
    <col min="8712" max="8712" width="10.28515625" style="36"/>
    <col min="8713" max="8713" width="6.140625" style="36" customWidth="1"/>
    <col min="8714" max="8714" width="0" style="36" hidden="1" customWidth="1"/>
    <col min="8715" max="8715" width="42.7109375" style="36" customWidth="1"/>
    <col min="8716" max="8716" width="14.28515625" style="36" customWidth="1"/>
    <col min="8717" max="8717" width="16.85546875" style="36" customWidth="1"/>
    <col min="8718" max="8718" width="17.5703125" style="36" customWidth="1"/>
    <col min="8719" max="8719" width="16" style="36" customWidth="1"/>
    <col min="8720" max="8720" width="15.7109375" style="36" customWidth="1"/>
    <col min="8721" max="8721" width="16.140625" style="36" customWidth="1"/>
    <col min="8722" max="8966" width="9.140625" style="36" customWidth="1"/>
    <col min="8967" max="8967" width="10.5703125" style="36" customWidth="1"/>
    <col min="8968" max="8968" width="10.28515625" style="36"/>
    <col min="8969" max="8969" width="6.140625" style="36" customWidth="1"/>
    <col min="8970" max="8970" width="0" style="36" hidden="1" customWidth="1"/>
    <col min="8971" max="8971" width="42.7109375" style="36" customWidth="1"/>
    <col min="8972" max="8972" width="14.28515625" style="36" customWidth="1"/>
    <col min="8973" max="8973" width="16.85546875" style="36" customWidth="1"/>
    <col min="8974" max="8974" width="17.5703125" style="36" customWidth="1"/>
    <col min="8975" max="8975" width="16" style="36" customWidth="1"/>
    <col min="8976" max="8976" width="15.7109375" style="36" customWidth="1"/>
    <col min="8977" max="8977" width="16.140625" style="36" customWidth="1"/>
    <col min="8978" max="9222" width="9.140625" style="36" customWidth="1"/>
    <col min="9223" max="9223" width="10.5703125" style="36" customWidth="1"/>
    <col min="9224" max="9224" width="10.28515625" style="36"/>
    <col min="9225" max="9225" width="6.140625" style="36" customWidth="1"/>
    <col min="9226" max="9226" width="0" style="36" hidden="1" customWidth="1"/>
    <col min="9227" max="9227" width="42.7109375" style="36" customWidth="1"/>
    <col min="9228" max="9228" width="14.28515625" style="36" customWidth="1"/>
    <col min="9229" max="9229" width="16.85546875" style="36" customWidth="1"/>
    <col min="9230" max="9230" width="17.5703125" style="36" customWidth="1"/>
    <col min="9231" max="9231" width="16" style="36" customWidth="1"/>
    <col min="9232" max="9232" width="15.7109375" style="36" customWidth="1"/>
    <col min="9233" max="9233" width="16.140625" style="36" customWidth="1"/>
    <col min="9234" max="9478" width="9.140625" style="36" customWidth="1"/>
    <col min="9479" max="9479" width="10.5703125" style="36" customWidth="1"/>
    <col min="9480" max="9480" width="10.28515625" style="36"/>
    <col min="9481" max="9481" width="6.140625" style="36" customWidth="1"/>
    <col min="9482" max="9482" width="0" style="36" hidden="1" customWidth="1"/>
    <col min="9483" max="9483" width="42.7109375" style="36" customWidth="1"/>
    <col min="9484" max="9484" width="14.28515625" style="36" customWidth="1"/>
    <col min="9485" max="9485" width="16.85546875" style="36" customWidth="1"/>
    <col min="9486" max="9486" width="17.5703125" style="36" customWidth="1"/>
    <col min="9487" max="9487" width="16" style="36" customWidth="1"/>
    <col min="9488" max="9488" width="15.7109375" style="36" customWidth="1"/>
    <col min="9489" max="9489" width="16.140625" style="36" customWidth="1"/>
    <col min="9490" max="9734" width="9.140625" style="36" customWidth="1"/>
    <col min="9735" max="9735" width="10.5703125" style="36" customWidth="1"/>
    <col min="9736" max="9736" width="10.28515625" style="36"/>
    <col min="9737" max="9737" width="6.140625" style="36" customWidth="1"/>
    <col min="9738" max="9738" width="0" style="36" hidden="1" customWidth="1"/>
    <col min="9739" max="9739" width="42.7109375" style="36" customWidth="1"/>
    <col min="9740" max="9740" width="14.28515625" style="36" customWidth="1"/>
    <col min="9741" max="9741" width="16.85546875" style="36" customWidth="1"/>
    <col min="9742" max="9742" width="17.5703125" style="36" customWidth="1"/>
    <col min="9743" max="9743" width="16" style="36" customWidth="1"/>
    <col min="9744" max="9744" width="15.7109375" style="36" customWidth="1"/>
    <col min="9745" max="9745" width="16.140625" style="36" customWidth="1"/>
    <col min="9746" max="9990" width="9.140625" style="36" customWidth="1"/>
    <col min="9991" max="9991" width="10.5703125" style="36" customWidth="1"/>
    <col min="9992" max="9992" width="10.28515625" style="36"/>
    <col min="9993" max="9993" width="6.140625" style="36" customWidth="1"/>
    <col min="9994" max="9994" width="0" style="36" hidden="1" customWidth="1"/>
    <col min="9995" max="9995" width="42.7109375" style="36" customWidth="1"/>
    <col min="9996" max="9996" width="14.28515625" style="36" customWidth="1"/>
    <col min="9997" max="9997" width="16.85546875" style="36" customWidth="1"/>
    <col min="9998" max="9998" width="17.5703125" style="36" customWidth="1"/>
    <col min="9999" max="9999" width="16" style="36" customWidth="1"/>
    <col min="10000" max="10000" width="15.7109375" style="36" customWidth="1"/>
    <col min="10001" max="10001" width="16.140625" style="36" customWidth="1"/>
    <col min="10002" max="10246" width="9.140625" style="36" customWidth="1"/>
    <col min="10247" max="10247" width="10.5703125" style="36" customWidth="1"/>
    <col min="10248" max="10248" width="10.28515625" style="36"/>
    <col min="10249" max="10249" width="6.140625" style="36" customWidth="1"/>
    <col min="10250" max="10250" width="0" style="36" hidden="1" customWidth="1"/>
    <col min="10251" max="10251" width="42.7109375" style="36" customWidth="1"/>
    <col min="10252" max="10252" width="14.28515625" style="36" customWidth="1"/>
    <col min="10253" max="10253" width="16.85546875" style="36" customWidth="1"/>
    <col min="10254" max="10254" width="17.5703125" style="36" customWidth="1"/>
    <col min="10255" max="10255" width="16" style="36" customWidth="1"/>
    <col min="10256" max="10256" width="15.7109375" style="36" customWidth="1"/>
    <col min="10257" max="10257" width="16.140625" style="36" customWidth="1"/>
    <col min="10258" max="10502" width="9.140625" style="36" customWidth="1"/>
    <col min="10503" max="10503" width="10.5703125" style="36" customWidth="1"/>
    <col min="10504" max="10504" width="10.28515625" style="36"/>
    <col min="10505" max="10505" width="6.140625" style="36" customWidth="1"/>
    <col min="10506" max="10506" width="0" style="36" hidden="1" customWidth="1"/>
    <col min="10507" max="10507" width="42.7109375" style="36" customWidth="1"/>
    <col min="10508" max="10508" width="14.28515625" style="36" customWidth="1"/>
    <col min="10509" max="10509" width="16.85546875" style="36" customWidth="1"/>
    <col min="10510" max="10510" width="17.5703125" style="36" customWidth="1"/>
    <col min="10511" max="10511" width="16" style="36" customWidth="1"/>
    <col min="10512" max="10512" width="15.7109375" style="36" customWidth="1"/>
    <col min="10513" max="10513" width="16.140625" style="36" customWidth="1"/>
    <col min="10514" max="10758" width="9.140625" style="36" customWidth="1"/>
    <col min="10759" max="10759" width="10.5703125" style="36" customWidth="1"/>
    <col min="10760" max="10760" width="10.28515625" style="36"/>
    <col min="10761" max="10761" width="6.140625" style="36" customWidth="1"/>
    <col min="10762" max="10762" width="0" style="36" hidden="1" customWidth="1"/>
    <col min="10763" max="10763" width="42.7109375" style="36" customWidth="1"/>
    <col min="10764" max="10764" width="14.28515625" style="36" customWidth="1"/>
    <col min="10765" max="10765" width="16.85546875" style="36" customWidth="1"/>
    <col min="10766" max="10766" width="17.5703125" style="36" customWidth="1"/>
    <col min="10767" max="10767" width="16" style="36" customWidth="1"/>
    <col min="10768" max="10768" width="15.7109375" style="36" customWidth="1"/>
    <col min="10769" max="10769" width="16.140625" style="36" customWidth="1"/>
    <col min="10770" max="11014" width="9.140625" style="36" customWidth="1"/>
    <col min="11015" max="11015" width="10.5703125" style="36" customWidth="1"/>
    <col min="11016" max="11016" width="10.28515625" style="36"/>
    <col min="11017" max="11017" width="6.140625" style="36" customWidth="1"/>
    <col min="11018" max="11018" width="0" style="36" hidden="1" customWidth="1"/>
    <col min="11019" max="11019" width="42.7109375" style="36" customWidth="1"/>
    <col min="11020" max="11020" width="14.28515625" style="36" customWidth="1"/>
    <col min="11021" max="11021" width="16.85546875" style="36" customWidth="1"/>
    <col min="11022" max="11022" width="17.5703125" style="36" customWidth="1"/>
    <col min="11023" max="11023" width="16" style="36" customWidth="1"/>
    <col min="11024" max="11024" width="15.7109375" style="36" customWidth="1"/>
    <col min="11025" max="11025" width="16.140625" style="36" customWidth="1"/>
    <col min="11026" max="11270" width="9.140625" style="36" customWidth="1"/>
    <col min="11271" max="11271" width="10.5703125" style="36" customWidth="1"/>
    <col min="11272" max="11272" width="10.28515625" style="36"/>
    <col min="11273" max="11273" width="6.140625" style="36" customWidth="1"/>
    <col min="11274" max="11274" width="0" style="36" hidden="1" customWidth="1"/>
    <col min="11275" max="11275" width="42.7109375" style="36" customWidth="1"/>
    <col min="11276" max="11276" width="14.28515625" style="36" customWidth="1"/>
    <col min="11277" max="11277" width="16.85546875" style="36" customWidth="1"/>
    <col min="11278" max="11278" width="17.5703125" style="36" customWidth="1"/>
    <col min="11279" max="11279" width="16" style="36" customWidth="1"/>
    <col min="11280" max="11280" width="15.7109375" style="36" customWidth="1"/>
    <col min="11281" max="11281" width="16.140625" style="36" customWidth="1"/>
    <col min="11282" max="11526" width="9.140625" style="36" customWidth="1"/>
    <col min="11527" max="11527" width="10.5703125" style="36" customWidth="1"/>
    <col min="11528" max="11528" width="10.28515625" style="36"/>
    <col min="11529" max="11529" width="6.140625" style="36" customWidth="1"/>
    <col min="11530" max="11530" width="0" style="36" hidden="1" customWidth="1"/>
    <col min="11531" max="11531" width="42.7109375" style="36" customWidth="1"/>
    <col min="11532" max="11532" width="14.28515625" style="36" customWidth="1"/>
    <col min="11533" max="11533" width="16.85546875" style="36" customWidth="1"/>
    <col min="11534" max="11534" width="17.5703125" style="36" customWidth="1"/>
    <col min="11535" max="11535" width="16" style="36" customWidth="1"/>
    <col min="11536" max="11536" width="15.7109375" style="36" customWidth="1"/>
    <col min="11537" max="11537" width="16.140625" style="36" customWidth="1"/>
    <col min="11538" max="11782" width="9.140625" style="36" customWidth="1"/>
    <col min="11783" max="11783" width="10.5703125" style="36" customWidth="1"/>
    <col min="11784" max="11784" width="10.28515625" style="36"/>
    <col min="11785" max="11785" width="6.140625" style="36" customWidth="1"/>
    <col min="11786" max="11786" width="0" style="36" hidden="1" customWidth="1"/>
    <col min="11787" max="11787" width="42.7109375" style="36" customWidth="1"/>
    <col min="11788" max="11788" width="14.28515625" style="36" customWidth="1"/>
    <col min="11789" max="11789" width="16.85546875" style="36" customWidth="1"/>
    <col min="11790" max="11790" width="17.5703125" style="36" customWidth="1"/>
    <col min="11791" max="11791" width="16" style="36" customWidth="1"/>
    <col min="11792" max="11792" width="15.7109375" style="36" customWidth="1"/>
    <col min="11793" max="11793" width="16.140625" style="36" customWidth="1"/>
    <col min="11794" max="12038" width="9.140625" style="36" customWidth="1"/>
    <col min="12039" max="12039" width="10.5703125" style="36" customWidth="1"/>
    <col min="12040" max="12040" width="10.28515625" style="36"/>
    <col min="12041" max="12041" width="6.140625" style="36" customWidth="1"/>
    <col min="12042" max="12042" width="0" style="36" hidden="1" customWidth="1"/>
    <col min="12043" max="12043" width="42.7109375" style="36" customWidth="1"/>
    <col min="12044" max="12044" width="14.28515625" style="36" customWidth="1"/>
    <col min="12045" max="12045" width="16.85546875" style="36" customWidth="1"/>
    <col min="12046" max="12046" width="17.5703125" style="36" customWidth="1"/>
    <col min="12047" max="12047" width="16" style="36" customWidth="1"/>
    <col min="12048" max="12048" width="15.7109375" style="36" customWidth="1"/>
    <col min="12049" max="12049" width="16.140625" style="36" customWidth="1"/>
    <col min="12050" max="12294" width="9.140625" style="36" customWidth="1"/>
    <col min="12295" max="12295" width="10.5703125" style="36" customWidth="1"/>
    <col min="12296" max="12296" width="10.28515625" style="36"/>
    <col min="12297" max="12297" width="6.140625" style="36" customWidth="1"/>
    <col min="12298" max="12298" width="0" style="36" hidden="1" customWidth="1"/>
    <col min="12299" max="12299" width="42.7109375" style="36" customWidth="1"/>
    <col min="12300" max="12300" width="14.28515625" style="36" customWidth="1"/>
    <col min="12301" max="12301" width="16.85546875" style="36" customWidth="1"/>
    <col min="12302" max="12302" width="17.5703125" style="36" customWidth="1"/>
    <col min="12303" max="12303" width="16" style="36" customWidth="1"/>
    <col min="12304" max="12304" width="15.7109375" style="36" customWidth="1"/>
    <col min="12305" max="12305" width="16.140625" style="36" customWidth="1"/>
    <col min="12306" max="12550" width="9.140625" style="36" customWidth="1"/>
    <col min="12551" max="12551" width="10.5703125" style="36" customWidth="1"/>
    <col min="12552" max="12552" width="10.28515625" style="36"/>
    <col min="12553" max="12553" width="6.140625" style="36" customWidth="1"/>
    <col min="12554" max="12554" width="0" style="36" hidden="1" customWidth="1"/>
    <col min="12555" max="12555" width="42.7109375" style="36" customWidth="1"/>
    <col min="12556" max="12556" width="14.28515625" style="36" customWidth="1"/>
    <col min="12557" max="12557" width="16.85546875" style="36" customWidth="1"/>
    <col min="12558" max="12558" width="17.5703125" style="36" customWidth="1"/>
    <col min="12559" max="12559" width="16" style="36" customWidth="1"/>
    <col min="12560" max="12560" width="15.7109375" style="36" customWidth="1"/>
    <col min="12561" max="12561" width="16.140625" style="36" customWidth="1"/>
    <col min="12562" max="12806" width="9.140625" style="36" customWidth="1"/>
    <col min="12807" max="12807" width="10.5703125" style="36" customWidth="1"/>
    <col min="12808" max="12808" width="10.28515625" style="36"/>
    <col min="12809" max="12809" width="6.140625" style="36" customWidth="1"/>
    <col min="12810" max="12810" width="0" style="36" hidden="1" customWidth="1"/>
    <col min="12811" max="12811" width="42.7109375" style="36" customWidth="1"/>
    <col min="12812" max="12812" width="14.28515625" style="36" customWidth="1"/>
    <col min="12813" max="12813" width="16.85546875" style="36" customWidth="1"/>
    <col min="12814" max="12814" width="17.5703125" style="36" customWidth="1"/>
    <col min="12815" max="12815" width="16" style="36" customWidth="1"/>
    <col min="12816" max="12816" width="15.7109375" style="36" customWidth="1"/>
    <col min="12817" max="12817" width="16.140625" style="36" customWidth="1"/>
    <col min="12818" max="13062" width="9.140625" style="36" customWidth="1"/>
    <col min="13063" max="13063" width="10.5703125" style="36" customWidth="1"/>
    <col min="13064" max="13064" width="10.28515625" style="36"/>
    <col min="13065" max="13065" width="6.140625" style="36" customWidth="1"/>
    <col min="13066" max="13066" width="0" style="36" hidden="1" customWidth="1"/>
    <col min="13067" max="13067" width="42.7109375" style="36" customWidth="1"/>
    <col min="13068" max="13068" width="14.28515625" style="36" customWidth="1"/>
    <col min="13069" max="13069" width="16.85546875" style="36" customWidth="1"/>
    <col min="13070" max="13070" width="17.5703125" style="36" customWidth="1"/>
    <col min="13071" max="13071" width="16" style="36" customWidth="1"/>
    <col min="13072" max="13072" width="15.7109375" style="36" customWidth="1"/>
    <col min="13073" max="13073" width="16.140625" style="36" customWidth="1"/>
    <col min="13074" max="13318" width="9.140625" style="36" customWidth="1"/>
    <col min="13319" max="13319" width="10.5703125" style="36" customWidth="1"/>
    <col min="13320" max="13320" width="10.28515625" style="36"/>
    <col min="13321" max="13321" width="6.140625" style="36" customWidth="1"/>
    <col min="13322" max="13322" width="0" style="36" hidden="1" customWidth="1"/>
    <col min="13323" max="13323" width="42.7109375" style="36" customWidth="1"/>
    <col min="13324" max="13324" width="14.28515625" style="36" customWidth="1"/>
    <col min="13325" max="13325" width="16.85546875" style="36" customWidth="1"/>
    <col min="13326" max="13326" width="17.5703125" style="36" customWidth="1"/>
    <col min="13327" max="13327" width="16" style="36" customWidth="1"/>
    <col min="13328" max="13328" width="15.7109375" style="36" customWidth="1"/>
    <col min="13329" max="13329" width="16.140625" style="36" customWidth="1"/>
    <col min="13330" max="13574" width="9.140625" style="36" customWidth="1"/>
    <col min="13575" max="13575" width="10.5703125" style="36" customWidth="1"/>
    <col min="13576" max="13576" width="10.28515625" style="36"/>
    <col min="13577" max="13577" width="6.140625" style="36" customWidth="1"/>
    <col min="13578" max="13578" width="0" style="36" hidden="1" customWidth="1"/>
    <col min="13579" max="13579" width="42.7109375" style="36" customWidth="1"/>
    <col min="13580" max="13580" width="14.28515625" style="36" customWidth="1"/>
    <col min="13581" max="13581" width="16.85546875" style="36" customWidth="1"/>
    <col min="13582" max="13582" width="17.5703125" style="36" customWidth="1"/>
    <col min="13583" max="13583" width="16" style="36" customWidth="1"/>
    <col min="13584" max="13584" width="15.7109375" style="36" customWidth="1"/>
    <col min="13585" max="13585" width="16.140625" style="36" customWidth="1"/>
    <col min="13586" max="13830" width="9.140625" style="36" customWidth="1"/>
    <col min="13831" max="13831" width="10.5703125" style="36" customWidth="1"/>
    <col min="13832" max="13832" width="10.28515625" style="36"/>
    <col min="13833" max="13833" width="6.140625" style="36" customWidth="1"/>
    <col min="13834" max="13834" width="0" style="36" hidden="1" customWidth="1"/>
    <col min="13835" max="13835" width="42.7109375" style="36" customWidth="1"/>
    <col min="13836" max="13836" width="14.28515625" style="36" customWidth="1"/>
    <col min="13837" max="13837" width="16.85546875" style="36" customWidth="1"/>
    <col min="13838" max="13838" width="17.5703125" style="36" customWidth="1"/>
    <col min="13839" max="13839" width="16" style="36" customWidth="1"/>
    <col min="13840" max="13840" width="15.7109375" style="36" customWidth="1"/>
    <col min="13841" max="13841" width="16.140625" style="36" customWidth="1"/>
    <col min="13842" max="14086" width="9.140625" style="36" customWidth="1"/>
    <col min="14087" max="14087" width="10.5703125" style="36" customWidth="1"/>
    <col min="14088" max="14088" width="10.28515625" style="36"/>
    <col min="14089" max="14089" width="6.140625" style="36" customWidth="1"/>
    <col min="14090" max="14090" width="0" style="36" hidden="1" customWidth="1"/>
    <col min="14091" max="14091" width="42.7109375" style="36" customWidth="1"/>
    <col min="14092" max="14092" width="14.28515625" style="36" customWidth="1"/>
    <col min="14093" max="14093" width="16.85546875" style="36" customWidth="1"/>
    <col min="14094" max="14094" width="17.5703125" style="36" customWidth="1"/>
    <col min="14095" max="14095" width="16" style="36" customWidth="1"/>
    <col min="14096" max="14096" width="15.7109375" style="36" customWidth="1"/>
    <col min="14097" max="14097" width="16.140625" style="36" customWidth="1"/>
    <col min="14098" max="14342" width="9.140625" style="36" customWidth="1"/>
    <col min="14343" max="14343" width="10.5703125" style="36" customWidth="1"/>
    <col min="14344" max="14344" width="10.28515625" style="36"/>
    <col min="14345" max="14345" width="6.140625" style="36" customWidth="1"/>
    <col min="14346" max="14346" width="0" style="36" hidden="1" customWidth="1"/>
    <col min="14347" max="14347" width="42.7109375" style="36" customWidth="1"/>
    <col min="14348" max="14348" width="14.28515625" style="36" customWidth="1"/>
    <col min="14349" max="14349" width="16.85546875" style="36" customWidth="1"/>
    <col min="14350" max="14350" width="17.5703125" style="36" customWidth="1"/>
    <col min="14351" max="14351" width="16" style="36" customWidth="1"/>
    <col min="14352" max="14352" width="15.7109375" style="36" customWidth="1"/>
    <col min="14353" max="14353" width="16.140625" style="36" customWidth="1"/>
    <col min="14354" max="14598" width="9.140625" style="36" customWidth="1"/>
    <col min="14599" max="14599" width="10.5703125" style="36" customWidth="1"/>
    <col min="14600" max="14600" width="10.28515625" style="36"/>
    <col min="14601" max="14601" width="6.140625" style="36" customWidth="1"/>
    <col min="14602" max="14602" width="0" style="36" hidden="1" customWidth="1"/>
    <col min="14603" max="14603" width="42.7109375" style="36" customWidth="1"/>
    <col min="14604" max="14604" width="14.28515625" style="36" customWidth="1"/>
    <col min="14605" max="14605" width="16.85546875" style="36" customWidth="1"/>
    <col min="14606" max="14606" width="17.5703125" style="36" customWidth="1"/>
    <col min="14607" max="14607" width="16" style="36" customWidth="1"/>
    <col min="14608" max="14608" width="15.7109375" style="36" customWidth="1"/>
    <col min="14609" max="14609" width="16.140625" style="36" customWidth="1"/>
    <col min="14610" max="14854" width="9.140625" style="36" customWidth="1"/>
    <col min="14855" max="14855" width="10.5703125" style="36" customWidth="1"/>
    <col min="14856" max="14856" width="10.28515625" style="36"/>
    <col min="14857" max="14857" width="6.140625" style="36" customWidth="1"/>
    <col min="14858" max="14858" width="0" style="36" hidden="1" customWidth="1"/>
    <col min="14859" max="14859" width="42.7109375" style="36" customWidth="1"/>
    <col min="14860" max="14860" width="14.28515625" style="36" customWidth="1"/>
    <col min="14861" max="14861" width="16.85546875" style="36" customWidth="1"/>
    <col min="14862" max="14862" width="17.5703125" style="36" customWidth="1"/>
    <col min="14863" max="14863" width="16" style="36" customWidth="1"/>
    <col min="14864" max="14864" width="15.7109375" style="36" customWidth="1"/>
    <col min="14865" max="14865" width="16.140625" style="36" customWidth="1"/>
    <col min="14866" max="15110" width="9.140625" style="36" customWidth="1"/>
    <col min="15111" max="15111" width="10.5703125" style="36" customWidth="1"/>
    <col min="15112" max="15112" width="10.28515625" style="36"/>
    <col min="15113" max="15113" width="6.140625" style="36" customWidth="1"/>
    <col min="15114" max="15114" width="0" style="36" hidden="1" customWidth="1"/>
    <col min="15115" max="15115" width="42.7109375" style="36" customWidth="1"/>
    <col min="15116" max="15116" width="14.28515625" style="36" customWidth="1"/>
    <col min="15117" max="15117" width="16.85546875" style="36" customWidth="1"/>
    <col min="15118" max="15118" width="17.5703125" style="36" customWidth="1"/>
    <col min="15119" max="15119" width="16" style="36" customWidth="1"/>
    <col min="15120" max="15120" width="15.7109375" style="36" customWidth="1"/>
    <col min="15121" max="15121" width="16.140625" style="36" customWidth="1"/>
    <col min="15122" max="15366" width="9.140625" style="36" customWidth="1"/>
    <col min="15367" max="15367" width="10.5703125" style="36" customWidth="1"/>
    <col min="15368" max="15368" width="10.28515625" style="36"/>
    <col min="15369" max="15369" width="6.140625" style="36" customWidth="1"/>
    <col min="15370" max="15370" width="0" style="36" hidden="1" customWidth="1"/>
    <col min="15371" max="15371" width="42.7109375" style="36" customWidth="1"/>
    <col min="15372" max="15372" width="14.28515625" style="36" customWidth="1"/>
    <col min="15373" max="15373" width="16.85546875" style="36" customWidth="1"/>
    <col min="15374" max="15374" width="17.5703125" style="36" customWidth="1"/>
    <col min="15375" max="15375" width="16" style="36" customWidth="1"/>
    <col min="15376" max="15376" width="15.7109375" style="36" customWidth="1"/>
    <col min="15377" max="15377" width="16.140625" style="36" customWidth="1"/>
    <col min="15378" max="15622" width="9.140625" style="36" customWidth="1"/>
    <col min="15623" max="15623" width="10.5703125" style="36" customWidth="1"/>
    <col min="15624" max="15624" width="10.28515625" style="36"/>
    <col min="15625" max="15625" width="6.140625" style="36" customWidth="1"/>
    <col min="15626" max="15626" width="0" style="36" hidden="1" customWidth="1"/>
    <col min="15627" max="15627" width="42.7109375" style="36" customWidth="1"/>
    <col min="15628" max="15628" width="14.28515625" style="36" customWidth="1"/>
    <col min="15629" max="15629" width="16.85546875" style="36" customWidth="1"/>
    <col min="15630" max="15630" width="17.5703125" style="36" customWidth="1"/>
    <col min="15631" max="15631" width="16" style="36" customWidth="1"/>
    <col min="15632" max="15632" width="15.7109375" style="36" customWidth="1"/>
    <col min="15633" max="15633" width="16.140625" style="36" customWidth="1"/>
    <col min="15634" max="15878" width="9.140625" style="36" customWidth="1"/>
    <col min="15879" max="15879" width="10.5703125" style="36" customWidth="1"/>
    <col min="15880" max="15880" width="10.28515625" style="36"/>
    <col min="15881" max="15881" width="6.140625" style="36" customWidth="1"/>
    <col min="15882" max="15882" width="0" style="36" hidden="1" customWidth="1"/>
    <col min="15883" max="15883" width="42.7109375" style="36" customWidth="1"/>
    <col min="15884" max="15884" width="14.28515625" style="36" customWidth="1"/>
    <col min="15885" max="15885" width="16.85546875" style="36" customWidth="1"/>
    <col min="15886" max="15886" width="17.5703125" style="36" customWidth="1"/>
    <col min="15887" max="15887" width="16" style="36" customWidth="1"/>
    <col min="15888" max="15888" width="15.7109375" style="36" customWidth="1"/>
    <col min="15889" max="15889" width="16.140625" style="36" customWidth="1"/>
    <col min="15890" max="16134" width="9.140625" style="36" customWidth="1"/>
    <col min="16135" max="16135" width="10.5703125" style="36" customWidth="1"/>
    <col min="16136" max="16136" width="10.28515625" style="36"/>
    <col min="16137" max="16137" width="6.140625" style="36" customWidth="1"/>
    <col min="16138" max="16138" width="0" style="36" hidden="1" customWidth="1"/>
    <col min="16139" max="16139" width="42.7109375" style="36" customWidth="1"/>
    <col min="16140" max="16140" width="14.28515625" style="36" customWidth="1"/>
    <col min="16141" max="16141" width="16.85546875" style="36" customWidth="1"/>
    <col min="16142" max="16142" width="17.5703125" style="36" customWidth="1"/>
    <col min="16143" max="16143" width="16" style="36" customWidth="1"/>
    <col min="16144" max="16144" width="15.7109375" style="36" customWidth="1"/>
    <col min="16145" max="16145" width="16.140625" style="36" customWidth="1"/>
    <col min="16146" max="16384" width="9.140625" style="36" customWidth="1"/>
  </cols>
  <sheetData>
    <row r="1" spans="1:17" ht="77.25" customHeight="1" thickBot="1" x14ac:dyDescent="0.3">
      <c r="A1" s="35"/>
      <c r="B1" s="212" t="s">
        <v>91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3"/>
    </row>
    <row r="2" spans="1:17" ht="21.75" customHeight="1" thickBot="1" x14ac:dyDescent="0.3">
      <c r="A2" s="214" t="s">
        <v>42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6"/>
    </row>
    <row r="3" spans="1:17" ht="27.75" customHeight="1" thickBot="1" x14ac:dyDescent="0.3">
      <c r="A3" s="39" t="s">
        <v>92</v>
      </c>
      <c r="B3" s="41"/>
      <c r="C3" s="42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  <c r="Q3" s="43"/>
    </row>
    <row r="4" spans="1:17" ht="27.75" hidden="1" customHeight="1" thickBot="1" x14ac:dyDescent="0.35">
      <c r="A4" s="62"/>
      <c r="B4" s="63"/>
      <c r="C4" s="64"/>
      <c r="D4" s="63"/>
      <c r="E4" s="66">
        <v>44228</v>
      </c>
      <c r="F4" s="66">
        <v>44256</v>
      </c>
      <c r="G4" s="66">
        <v>44287</v>
      </c>
      <c r="H4" s="66">
        <v>44317</v>
      </c>
      <c r="I4" s="66">
        <v>44348</v>
      </c>
      <c r="J4" s="66">
        <v>44378</v>
      </c>
      <c r="K4" s="66">
        <v>44409</v>
      </c>
      <c r="L4" s="66">
        <v>44440</v>
      </c>
      <c r="M4" s="66">
        <v>44470</v>
      </c>
      <c r="N4" s="66">
        <v>44501</v>
      </c>
      <c r="O4" s="66">
        <v>44531</v>
      </c>
      <c r="P4" s="66">
        <v>44562</v>
      </c>
      <c r="Q4" s="65"/>
    </row>
    <row r="5" spans="1:17" ht="33.75" customHeight="1" thickBot="1" x14ac:dyDescent="0.3">
      <c r="A5" s="103" t="s">
        <v>6</v>
      </c>
      <c r="B5" s="44" t="s">
        <v>8</v>
      </c>
      <c r="C5" s="45" t="s">
        <v>25</v>
      </c>
      <c r="D5" s="46" t="s">
        <v>26</v>
      </c>
      <c r="E5" s="104" t="s">
        <v>27</v>
      </c>
      <c r="F5" s="104" t="s">
        <v>28</v>
      </c>
      <c r="G5" s="104" t="s">
        <v>29</v>
      </c>
      <c r="H5" s="104" t="s">
        <v>30</v>
      </c>
      <c r="I5" s="104" t="s">
        <v>31</v>
      </c>
      <c r="J5" s="104" t="s">
        <v>32</v>
      </c>
      <c r="K5" s="104" t="s">
        <v>33</v>
      </c>
      <c r="L5" s="104" t="s">
        <v>34</v>
      </c>
      <c r="M5" s="104" t="s">
        <v>35</v>
      </c>
      <c r="N5" s="104" t="s">
        <v>36</v>
      </c>
      <c r="O5" s="104" t="s">
        <v>37</v>
      </c>
      <c r="P5" s="104" t="s">
        <v>38</v>
      </c>
      <c r="Q5" s="105" t="s">
        <v>39</v>
      </c>
    </row>
    <row r="6" spans="1:17" ht="41.45" customHeight="1" x14ac:dyDescent="0.25">
      <c r="A6" s="217">
        <v>1</v>
      </c>
      <c r="B6" s="219" t="str">
        <f>'planilha tapa burado 2024'!C9</f>
        <v>Obras Viárias</v>
      </c>
      <c r="C6" s="47" t="s">
        <v>40</v>
      </c>
      <c r="D6" s="48">
        <v>1</v>
      </c>
      <c r="E6" s="48">
        <v>8.3344686375547955E-2</v>
      </c>
      <c r="F6" s="48">
        <v>8.3344686375547955E-2</v>
      </c>
      <c r="G6" s="48">
        <v>8.3344686375547955E-2</v>
      </c>
      <c r="H6" s="48">
        <v>8.3344686375547955E-2</v>
      </c>
      <c r="I6" s="48">
        <v>8.3344686375547955E-2</v>
      </c>
      <c r="J6" s="48">
        <v>8.3344686375547955E-2</v>
      </c>
      <c r="K6" s="48">
        <v>8.3344686375547955E-2</v>
      </c>
      <c r="L6" s="48">
        <v>8.3344686375547955E-2</v>
      </c>
      <c r="M6" s="48">
        <v>8.3344686375547955E-2</v>
      </c>
      <c r="N6" s="48">
        <v>8.3344686375547955E-2</v>
      </c>
      <c r="O6" s="48">
        <v>8.3344686375547955E-2</v>
      </c>
      <c r="P6" s="48">
        <v>8.3208449868972537E-2</v>
      </c>
      <c r="Q6" s="49">
        <f>SUM(E6:P6)</f>
        <v>0.99999999999999989</v>
      </c>
    </row>
    <row r="7" spans="1:17" ht="48" customHeight="1" thickBot="1" x14ac:dyDescent="0.3">
      <c r="A7" s="218"/>
      <c r="B7" s="220"/>
      <c r="C7" s="109" t="s">
        <v>41</v>
      </c>
      <c r="D7" s="110">
        <f>'planilha tapa burado 2024'!H14</f>
        <v>544857.59999999998</v>
      </c>
      <c r="E7" s="110">
        <f>E6*D7</f>
        <v>45410.985791333755</v>
      </c>
      <c r="F7" s="110">
        <f>F6*$D$7</f>
        <v>45410.985791333755</v>
      </c>
      <c r="G7" s="110">
        <f t="shared" ref="G7:P7" si="0">G6*$D$7</f>
        <v>45410.985791333755</v>
      </c>
      <c r="H7" s="110">
        <f>H6*$D$7</f>
        <v>45410.985791333755</v>
      </c>
      <c r="I7" s="110">
        <f t="shared" si="0"/>
        <v>45410.985791333755</v>
      </c>
      <c r="J7" s="110">
        <f t="shared" si="0"/>
        <v>45410.985791333755</v>
      </c>
      <c r="K7" s="110">
        <f t="shared" si="0"/>
        <v>45410.985791333755</v>
      </c>
      <c r="L7" s="110">
        <f t="shared" si="0"/>
        <v>45410.985791333755</v>
      </c>
      <c r="M7" s="110">
        <f t="shared" si="0"/>
        <v>45410.985791333755</v>
      </c>
      <c r="N7" s="110">
        <f t="shared" si="0"/>
        <v>45410.985791333755</v>
      </c>
      <c r="O7" s="110">
        <f t="shared" si="0"/>
        <v>45410.985791333755</v>
      </c>
      <c r="P7" s="110">
        <f t="shared" si="0"/>
        <v>45336.756295328691</v>
      </c>
      <c r="Q7" s="111">
        <f>SUM(E7:P7)</f>
        <v>544857.60000000009</v>
      </c>
    </row>
    <row r="8" spans="1:17" ht="13.9" x14ac:dyDescent="0.3">
      <c r="A8" s="50"/>
      <c r="B8" s="51"/>
      <c r="C8" s="52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4"/>
      <c r="Q8" s="55"/>
    </row>
    <row r="9" spans="1:17" ht="14.25" customHeight="1" x14ac:dyDescent="0.3">
      <c r="A9" s="56"/>
      <c r="B9" s="61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38"/>
    </row>
    <row r="10" spans="1:17" ht="14.25" customHeight="1" x14ac:dyDescent="0.3">
      <c r="A10" s="56"/>
      <c r="B10" s="61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8"/>
      <c r="Q10" s="38"/>
    </row>
    <row r="11" spans="1:17" ht="14.25" customHeight="1" x14ac:dyDescent="0.25">
      <c r="A11" s="56"/>
      <c r="B11" s="61"/>
      <c r="C11" s="6" t="s">
        <v>20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8"/>
      <c r="Q11" s="38"/>
    </row>
    <row r="12" spans="1:17" ht="14.25" customHeight="1" x14ac:dyDescent="0.2">
      <c r="A12" s="56"/>
      <c r="B12" s="61"/>
      <c r="C12" s="7" t="s">
        <v>21</v>
      </c>
      <c r="Q12" s="38"/>
    </row>
    <row r="13" spans="1:17" ht="14.45" thickBot="1" x14ac:dyDescent="0.25">
      <c r="A13" s="101"/>
      <c r="B13" s="60"/>
      <c r="C13" s="30" t="s">
        <v>22</v>
      </c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9"/>
    </row>
  </sheetData>
  <mergeCells count="4">
    <mergeCell ref="B1:Q1"/>
    <mergeCell ref="A2:Q2"/>
    <mergeCell ref="A6:A7"/>
    <mergeCell ref="B6:B7"/>
  </mergeCells>
  <phoneticPr fontId="10" type="noConversion"/>
  <pageMargins left="0.19685039370078741" right="0.19685039370078741" top="2.3622047244094491" bottom="0.98425196850393704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planilha tapa burado 2024</vt:lpstr>
      <vt:lpstr>BDI</vt:lpstr>
      <vt:lpstr>cronograma FF</vt:lpstr>
      <vt:lpstr>BDI!Area_de_impressao</vt:lpstr>
      <vt:lpstr>'cronograma FF'!Area_de_impressao</vt:lpstr>
      <vt:lpstr>'planilha tapa burado 2024'!Area_de_impressao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cp:lastPrinted>2024-11-18T13:34:23Z</cp:lastPrinted>
  <dcterms:created xsi:type="dcterms:W3CDTF">2019-07-24T17:08:30Z</dcterms:created>
  <dcterms:modified xsi:type="dcterms:W3CDTF">2024-11-18T13:45:20Z</dcterms:modified>
</cp:coreProperties>
</file>